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puts" sheetId="1" state="visible" r:id="rId1"/>
    <sheet name="Model" sheetId="2" state="visible" r:id="rId2"/>
    <sheet name="About" sheetId="3" state="visible" r:id="rId3"/>
  </sheets>
  <definedNames>
    <definedName name="full_precision">Model!$B$1</definedName>
    <definedName name="finance.unit.price.initiative_listed.amt">Inputs!$B$5</definedName>
    <definedName name="finance.unit.margin.initiative_claimed.pct">Inputs!$B$6</definedName>
    <definedName name="finance.customer.price.bu_listed.amt">Inputs!$B$7</definedName>
    <definedName name="finance.customer.margin.bu_claimed.pct">Inputs!$B$8</definedName>
    <definedName name="market.customer.price.bu_tam_basis.amt">Inputs!$B$9</definedName>
    <definedName name="market.customer.bu.claimed.cnt">Inputs!$B$10</definedName>
    <definedName name="market.opportunity.tam_claimed.amt">Model!$F$5</definedName>
    <definedName name="finance.unit.price.initiative_competitive_table.amt">Inputs!$B$11</definedName>
    <definedName name="finance.unit.price.pilot_recent.amt">Inputs!$B$12</definedName>
    <definedName name="market.initiative.value_asserted.amt">Inputs!$B$13</definedName>
    <definedName name="market.segment.strategy_consulting_low.amt">Inputs!$B$15</definedName>
    <definedName name="market.segment.strategy_consulting_high.amt">Inputs!$B$16</definedName>
    <definedName name="market.segment.innovation_consulting.amt">Inputs!$B$17</definedName>
    <definedName name="market.segment.innovation_software_low.amt">Inputs!$B$18</definedName>
    <definedName name="market.segment.innovation_software_high.amt">Inputs!$B$19</definedName>
    <definedName name="market.opportunity.category_claimed.amt">Inputs!$B$20</definedName>
    <definedName name="market.opportunity.claim_over_software_high.ratio">Model!$F$7</definedName>
    <definedName name="market.opportunity.bu_at_tenth_share.cnt">Model!$F$9</definedName>
    <definedName name="market.customer.large_enterprise.cnt">Inputs!$B$22</definedName>
    <definedName name="market.customer.growth_function.pct.low">Inputs!$B$23</definedName>
    <definedName name="market.customer.growth_function.pct.mid">Inputs!$B$24</definedName>
    <definedName name="market.customer.growth_function.pct.high">Inputs!$B$25</definedName>
    <definedName name="market.customer.buying_unit_per_company.cnt.low">Inputs!$B$26</definedName>
    <definedName name="market.customer.buying_unit_per_company.cnt.mid">Inputs!$B$27</definedName>
    <definedName name="market.customer.buying_unit_per_company.cnt.high">Inputs!$B$28</definedName>
    <definedName name="market.customer.bu_addressable.cnt.low">Model!$F$10</definedName>
    <definedName name="market.customer.bu_addressable.cnt">Model!$F$11</definedName>
    <definedName name="market.customer.bu_addressable.cnt.high">Model!$F$12</definedName>
    <definedName name="market.opportunity.tam_built.amt.low">Model!$F$13</definedName>
    <definedName name="market.opportunity.tam_built.amt">Model!$F$14</definedName>
    <definedName name="market.opportunity.tam_built.amt.high">Model!$F$15</definedName>
    <definedName name="market.opportunity.claimed_over_built.ratio">Model!$F$16</definedName>
    <definedName name="ops.team.advisor_compensation.amt.average">Inputs!$B$30</definedName>
    <definedName name="ops.initiative.cost_for_target_margin.amt">Model!$F$18</definedName>
    <definedName name="ops.team.advisor_compensation.amt.low">Inputs!$B$31</definedName>
    <definedName name="ops.team.advisor_compensation.amt.high">Inputs!$B$32</definedName>
    <definedName name="ops.team.advisor_cost_hourly.amt.low">Model!$F$19</definedName>
    <definedName name="ops.team.advisor_cost_hourly.amt.high">Model!$F$20</definedName>
    <definedName name="ops.initiative.cost_to_serve.amt.low">Model!$F$21</definedName>
    <definedName name="ops.initiative.cost_to_serve.amt.high">Model!$F$22</definedName>
    <definedName name="ops.team.advisor_compensation.amt">Inputs!$B$33</definedName>
    <definedName name="_ops.team.employment_load.ratio">Inputs!$B$34</definedName>
    <definedName name="ops.team.advisor_cost_loaded.amt">Model!$F$23</definedName>
    <definedName name="ops.team.advisor_hour_available.cnt">Inputs!$B$35</definedName>
    <definedName name="ops.team.advisor_cost_hourly.amt">Model!$F$24</definedName>
    <definedName name="ops.initiative.advisor_hour.cnt">Inputs!$B$36</definedName>
    <definedName name="ops.initiative.advisor_hour_navigate.cnt">Inputs!$B$37</definedName>
    <definedName name="ops.initiative.expert_session.cnt">Inputs!$B$38</definedName>
    <definedName name="_ops.team.expert_hour_cost.amt">Inputs!$B$39</definedName>
    <definedName name="_ops.initiative.expert_hour_per_session.cnt">Inputs!$B$40</definedName>
    <definedName name="ops.initiative.expert_cost.amt">Model!$F$25</definedName>
    <definedName name="ops.team.advisor_hour_scheduled.cnt">Inputs!$B$41</definedName>
    <definedName name="ops.team.advisor_utilization.pct">Inputs!$B$42</definedName>
    <definedName name="ops.team.advisor_hour_billable.cnt">Model!$F$26</definedName>
    <definedName name="ops.initiative.inference_cost.amt">Inputs!$B$43</definedName>
    <definedName name="ops.initiative.cost_to_serve.amt">Model!$F$27</definedName>
    <definedName name="ops.team.advisor_cost_hourly_absorbed.amt.low">Model!$F$29</definedName>
    <definedName name="ops.team.advisor_cost_hourly_absorbed.amt.high">Model!$F$30</definedName>
    <definedName name="ops.initiative.cost_to_serve_absorbed.amt.low">Model!$F$31</definedName>
    <definedName name="ops.initiative.cost_to_serve_absorbed.amt.high">Model!$F$32</definedName>
    <definedName name="finance.unit.margin.absorbed_at_recent_price.pct.low_comp">Model!$F$33</definedName>
    <definedName name="finance.unit.margin.absorbed_at_band_high.pct.low_comp">Model!$F$34</definedName>
    <definedName name="finance.unit.margin.absorbed_at_recent_price.pct.high_comp">Model!$F$35</definedName>
    <definedName name="finance.customer.margin.bu_claim_minus_absorbed.pct">Model!$F$36</definedName>
    <definedName name="ops.customer.navigate_cost_absorbed.amt">Model!$F$37</definedName>
    <definedName name="finance.customer.navigate_price_for_target_margin.amt">Model!$F$38</definedName>
    <definedName name="finance.customer.navigate_price_share_of_bu.pct">Model!$F$39</definedName>
    <definedName name="finance.unit.margin.target.pct">Inputs!$B$45</definedName>
    <definedName name="ops.initiative.advisor_hour_for_target_margin.cnt">Model!$F$40</definedName>
    <definedName name="ops.initiative.advisor_hour.cnt.half">Model!$F$41</definedName>
    <definedName name="ops.initiative.cost_to_serve_absorbed.amt.half_hours">Model!$F$42</definedName>
    <definedName name="finance.unit.margin.absorbed_at_recent_price.pct.half_hours">Model!$F$43</definedName>
    <definedName name="ops.team.advisor_cost_hourly_absorbed.amt">Model!$F$44</definedName>
    <definedName name="ops.initiative.cost_to_serve_absorbed.amt">Model!$F$45</definedName>
    <definedName name="finance.unit.margin.absorbed_at_list.pct">Model!$F$46</definedName>
    <definedName name="finance.unit.margin.absorbed_at_band_low.pct">Model!$F$47</definedName>
    <definedName name="finance.unit.margin.absorbed_at_recent_price.pct">Model!$F$48</definedName>
    <definedName name="finance.unit.margin.absorbed_at_band_high.pct">Model!$F$49</definedName>
    <definedName name="ops.customer.cost_to_serve_bu_absorbed.amt">Model!$F$50</definedName>
    <definedName name="finance.customer.margin.bu_absorbed.pct">Model!$F$51</definedName>
    <definedName name="finance.unit.margin.initiative_at_list.pct">Model!$F$53</definedName>
    <definedName name="finance.unit.margin.initiative_at_recent_price.pct">Model!$F$54</definedName>
    <definedName name="finance.unit.margin.claim_minus_derived.pct">Model!$F$55</definedName>
    <definedName name="finance.unit.price.pilot_band_low.amt">Inputs!$B$47</definedName>
    <definedName name="finance.unit.price.pilot_band_high.amt">Inputs!$B$48</definedName>
    <definedName name="finance.unit.margin.initiative_at_band_low.pct">Model!$F$56</definedName>
    <definedName name="finance.unit.margin.initiative_at_band_high.pct">Model!$F$57</definedName>
    <definedName name="ops.initiative.advisor_hour_implied_at_recent_price.cnt">Model!$F$58</definedName>
    <definedName name="ops.initiative.cost_implied_by_claim.amt">Model!$F$59</definedName>
    <definedName name="ops.initiative.advisor_hour_implied_by_claim.cnt">Model!$F$60</definedName>
    <definedName name="ops.customer.initiative_per_bu.cnt">Inputs!$B$49</definedName>
    <definedName name="ops.customer.cost_to_serve_bu.amt">Model!$F$61</definedName>
    <definedName name="finance.customer.margin.bu_derived.pct">Model!$F$62</definedName>
    <definedName name="finance.customer.margin.bu_claim_minus_derived.pct">Model!$F$63</definedName>
    <definedName name="market.opportunity.share_required.pct.2029.low_build">Model!$F$65</definedName>
    <definedName name="market.opportunity.share_required.pct.2029.high_build">Model!$F$66</definedName>
    <definedName name="market.opportunity.claimed_over_built_high.ratio">Model!$F$67</definedName>
    <definedName name="ops.team.advisor_at_tenth_share.cnt">Model!$F$68</definedName>
    <definedName name="ops.team.advisor_payroll_at_tenth_share.amt">Model!$F$69</definedName>
    <definedName name="finance.revenue.arr_plan.amt.2026">Inputs!$B$51</definedName>
    <definedName name="finance.revenue.arr_plan.amt.2027">Inputs!$B$52</definedName>
    <definedName name="finance.revenue.arr_plan.amt.2028">Inputs!$B$53</definedName>
    <definedName name="finance.revenue.arr_plan.amt.2029">Inputs!$B$54</definedName>
    <definedName name="finance.revenue.growth_plan.ratio.2027">Model!$F$70</definedName>
    <definedName name="finance.revenue.growth_plan.ratio.2028">Model!$F$71</definedName>
    <definedName name="finance.revenue.growth_plan.ratio.2029">Model!$F$72</definedName>
    <definedName name="finance.customer.bu_required.cnt.2029">Model!$F$73</definedName>
    <definedName name="market.opportunity.share_required.pct.2029">Model!$F$74</definedName>
    <definedName name="market.customer.bu_share_required.pct.2029">Model!$F$75</definedName>
    <definedName name="ops.team.bu_per_advisor.cnt">Model!$F$76</definedName>
    <definedName name="ops.team.advisor_required.cnt.2029">Model!$F$77</definedName>
    <definedName name="ops.team.advisor_payroll.amt.2029">Model!$F$78</definedName>
    <definedName name="_market.competitor.saas_growth_median.pct">Inputs!$B$55</definedName>
    <definedName name="_market.competitor.saas_growth_top_quartile.pct">Inputs!$B$56</definedName>
    <definedName name="finance.revenue.growth_plan.pct.2027">Model!$F$79</definedName>
    <definedName name="finance.revenue.growth_over_top_quartile.ratio.2027">Model!$F$80</definedName>
    <definedName name="finance.customer.bu_required.cnt.2029.at_realized_price">Model!$F$82</definedName>
    <definedName name="ops.team.advisor_required.cnt.2029.at_realized_price">Model!$F$83</definedName>
    <definedName name="finance.customer.margin.bu_at_realized_price.pct">Model!$F$84</definedName>
    <definedName name="finance.customer.margin.bu_at_realized_price_absorbed.pct">Model!$F$85</definedName>
    <definedName name="demand.customer.paid_pilot.cnt">Inputs!$B$58</definedName>
    <definedName name="demand.customer.pipeline.cnt">Inputs!$B$59</definedName>
    <definedName name="demand.customer.bu_contracted.cnt.low">Model!$F$87</definedName>
    <definedName name="demand.customer.bu_contracted.cnt.mid">Model!$F$88</definedName>
    <definedName name="demand.customer.bu_contracted.cnt.high">Model!$F$89</definedName>
    <definedName name="demand.customer.conversion_observed.cnt">Inputs!$B$60</definedName>
    <definedName name="demand.customer.conversion_observed.pct">Model!$F$90</definedName>
    <definedName name="demand.customer.conversion.pct.low">Inputs!$B$61</definedName>
    <definedName name="demand.customer.conversion.pct.mid">Inputs!$B$62</definedName>
    <definedName name="demand.customer.conversion.pct.high">Inputs!$B$63</definedName>
    <definedName name="demand.customer.pipeline_to_paid.pct">Inputs!$B$64</definedName>
    <definedName name="demand.customer.conversion_pool.cnt.low">Model!$F$91</definedName>
    <definedName name="demand.customer.conversion_pool.cnt">Model!$F$92</definedName>
    <definedName name="demand.customer.bu_contracted.cnt.mid_pool_inclusive">Model!$F$93</definedName>
    <definedName name="finance.revenue.arr_case.amt.mid_pool_inclusive">Model!$F$94</definedName>
    <definedName name="finance.customer.price.bu_realized.amt.low">Inputs!$B$65</definedName>
    <definedName name="finance.customer.price.bu_realized.amt.mid">Inputs!$B$66</definedName>
    <definedName name="finance.customer.price.bu_realized.amt.high">Inputs!$B$67</definedName>
    <definedName name="finance.revenue.arr_case.amt.low">Model!$F$95</definedName>
    <definedName name="finance.revenue.arr_case.amt.mid">Model!$F$96</definedName>
    <definedName name="finance.revenue.arr_case.amt.high">Model!$F$97</definedName>
    <definedName name="finance.revenue.plan_over_mid_case.ratio.2027">Model!$F$98</definedName>
    <definedName name="finance.revenue.capacity_funded_at_realized_price.amt">Model!$F$100</definedName>
    <definedName name="frame.capital.raise_target_low.amt">Inputs!$B$69</definedName>
    <definedName name="frame.capital.raise_target_high.amt">Inputs!$B$70</definedName>
    <definedName name="frame.capital.raise_midpoint.amt">Model!$F$101</definedName>
    <definedName name="_market.competitor.series_a_arr_low.amt">Inputs!$B$71</definedName>
    <definedName name="_market.competitor.series_a_arr_high.amt">Inputs!$B$72</definedName>
    <definedName name="market.competitor.series_a_arr_median.amt">Inputs!$B$73</definedName>
    <definedName name="market.competitor.series_a_round_low.amt">Inputs!$B$74</definedName>
    <definedName name="market.competitor.series_a_round_high.amt">Inputs!$B$75</definedName>
    <definedName name="_market.competitor.burn_multiple_acceptable.ratio">Inputs!$B$76</definedName>
    <definedName name="market.competitor.ai_gross_margin_average.pct">Inputs!$B$77</definedName>
    <definedName name="market.competitor.ai_gross_margin_glide.pct">Inputs!$B$78</definedName>
    <definedName name="market.competitor.nrr_baseline.pct">Inputs!$B$79</definedName>
    <definedName name="market.competitor.nrr_competitive.pct">Inputs!$B$80</definedName>
    <definedName name="market.competitor.series_a_arr_ai.amt">Inputs!$B$81</definedName>
    <definedName name="market.competitor.series_a_arr_ai_fundable.amt">Inputs!$B$82</definedName>
    <definedName name="market.competitor.seed_round_median.amt">Inputs!$B$83</definedName>
    <definedName name="market.competitor.seed_round_ai_median.amt">Inputs!$B$84</definedName>
    <definedName name="market.competitor.seed_arr_expected.amt">Inputs!$B$85</definedName>
    <definedName name="finance.revenue.arr_gap_to_series_a.amt">Model!$F$102</definedName>
    <definedName name="finance.revenue.arr_gap_to_series_a_ai.amt">Model!$F$103</definedName>
    <definedName name="demand.customer.bu_contracted.cnt.low_pool_inclusive">Model!$F$104</definedName>
    <definedName name="finance.revenue.arr_case.amt.low_pool_inclusive">Model!$F$105</definedName>
    <definedName name="finance.revenue.arr_gap_to_series_a_ai.amt.worst_case">Model!$F$106</definedName>
    <definedName name="finance.revenue.arr_gap_to_series_a_ai.ratio.worst_case">Model!$F$107</definedName>
    <definedName name="strategy.capital.delivery_share.pct">Inputs!$B$86</definedName>
    <definedName name="ops.team.advisor_funded.cnt">Model!$F$108</definedName>
    <definedName name="ops.team.bu_capacity_funded.cnt">Model!$F$109</definedName>
    <definedName name="finance.revenue.capacity_funded.amt">Model!$F$110</definedName>
    <definedName name="market.competitor.palantir_revenue.amt">Inputs!$B$88</definedName>
    <definedName name="market.competitor.palantir_headcount.cnt">Inputs!$B$89</definedName>
    <definedName name="market.competitor.palantir_margin.pct">Inputs!$B$90</definedName>
    <definedName name="market.competitor.palantir_revenue_per_head.amt">Model!$F$112</definedName>
    <definedName name="market.competitor.deck_aspiration_arr.amt">Inputs!$B$91</definedName>
    <definedName name="market.competitor.deck_aspiration_headcount.cnt">Inputs!$B$92</definedName>
    <definedName name="market.competitor.deck_aspiration_revenue_per_head.amt">Model!$F$113</definedName>
    <definedName name="market.competitor.aspiration_over_palantir.ratio">Model!$F$114</definedName>
    <definedName name="finance.team.revenue_per_advisor.amt.2029">Model!$F$115</definedName>
    <definedName name="finance.unit.price.spread.ratio">Model!$F$117</definedName>
    <definedName name="market.customer.price.tam_over_list.ratio">Model!$F$118</definedName>
    <definedName name="_market.competitor.enterprise_pilot_conversion.pct">Inputs!$B$94</definedName>
  </definedNames>
  <calcPr calcId="124519" fullCalcOnLoad="1"/>
</workbook>
</file>

<file path=xl/styles.xml><?xml version="1.0" encoding="utf-8"?>
<styleSheet xmlns="http://schemas.openxmlformats.org/spreadsheetml/2006/main">
  <numFmts count="2">
    <numFmt numFmtId="164" formatCode="#,##0.??"/>
    <numFmt numFmtId="165" formatCode="#,##0.######"/>
  </numFmts>
  <fonts count="4">
    <font>
      <name val="Calibri"/>
      <family val="2"/>
      <color theme="1"/>
      <sz val="11"/>
      <scheme val="minor"/>
    </font>
    <font>
      <b val="1"/>
    </font>
    <font>
      <b val="1"/>
      <color rgb="00FFFFFF"/>
    </font>
    <font>
      <name val="Menlo"/>
      <sz val="10"/>
    </font>
  </fonts>
  <fills count="6">
    <fill>
      <patternFill/>
    </fill>
    <fill>
      <patternFill patternType="gray125"/>
    </fill>
    <fill>
      <patternFill patternType="solid">
        <fgColor rgb="00FFF2CC"/>
      </patternFill>
    </fill>
    <fill>
      <patternFill patternType="solid">
        <fgColor rgb="00D9E2F3"/>
      </patternFill>
    </fill>
    <fill>
      <patternFill patternType="solid">
        <fgColor rgb="001F3864"/>
      </patternFill>
    </fill>
    <fill>
      <patternFill patternType="solid">
        <fgColor rgb="00FBE4D5"/>
      </patternFill>
    </fill>
  </fills>
  <borders count="1">
    <border>
      <left/>
      <right/>
      <top/>
      <bottom/>
      <diagonal/>
    </border>
  </borders>
  <cellStyleXfs count="1">
    <xf numFmtId="0" fontId="0" fillId="0" borderId="0"/>
  </cellStyleXfs>
  <cellXfs count="13">
    <xf numFmtId="0" fontId="0" fillId="0" borderId="0" pivotButton="0" quotePrefix="0" xfId="0"/>
    <xf numFmtId="0" fontId="1" fillId="3" borderId="0" pivotButton="0" quotePrefix="0" xfId="0"/>
    <xf numFmtId="0" fontId="0" fillId="3" borderId="0" pivotButton="0" quotePrefix="0" xfId="0"/>
    <xf numFmtId="0" fontId="2" fillId="4" borderId="0" pivotButton="0" quotePrefix="0" xfId="0"/>
    <xf numFmtId="0" fontId="2" fillId="4" borderId="0" applyAlignment="1" pivotButton="0" quotePrefix="0" xfId="0">
      <alignment horizontal="right"/>
    </xf>
    <xf numFmtId="0" fontId="3" fillId="0" borderId="0" pivotButton="0" quotePrefix="0" xfId="0"/>
    <xf numFmtId="164" fontId="0" fillId="2" borderId="0" pivotButton="0" quotePrefix="0" xfId="0"/>
    <xf numFmtId="164" fontId="0" fillId="0" borderId="0" pivotButton="0" quotePrefix="0" xfId="0"/>
    <xf numFmtId="165" fontId="0" fillId="0" borderId="0" pivotButton="0" quotePrefix="0" xfId="0"/>
    <xf numFmtId="0" fontId="0" fillId="5" borderId="0" pivotButton="0" quotePrefix="0" xfId="0"/>
    <xf numFmtId="164" fontId="0" fillId="5"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94"/>
  <sheetViews>
    <sheetView workbookViewId="0">
      <pane ySplit="3" topLeftCell="A4" activePane="bottomLeft" state="frozen"/>
      <selection pane="bottomLeft" activeCell="A1" sqref="A1"/>
    </sheetView>
  </sheetViews>
  <sheetFormatPr baseColWidth="8" defaultRowHeight="15"/>
  <cols>
    <col width="46" customWidth="1" min="1" max="1"/>
    <col width="14" customWidth="1" min="2" max="2"/>
    <col width="12" customWidth="1" min="3" max="3"/>
    <col width="110" customWidth="1" min="4" max="4"/>
  </cols>
  <sheetData>
    <row r="1">
      <c r="A1" s="1">
        <f>IF(full_precision,"FULL PRECISION - figures may differ from the memo","AS PUBLISHED - every figure matches the memo")</f>
        <v/>
      </c>
      <c r="B1" s="2" t="n"/>
      <c r="C1" s="2" t="n"/>
      <c r="D1" s="2" t="n"/>
    </row>
    <row r="3">
      <c r="A3" s="3" t="inlineStr">
        <is>
          <t>Key</t>
        </is>
      </c>
      <c r="B3" s="4" t="inlineStr">
        <is>
          <t>Value</t>
        </is>
      </c>
      <c r="C3" s="3" t="inlineStr">
        <is>
          <t>Unit</t>
        </is>
      </c>
      <c r="D3" s="3" t="inlineStr">
        <is>
          <t>Source / derivation</t>
        </is>
      </c>
    </row>
    <row r="4">
      <c r="A4" s="1" t="inlineStr">
        <is>
          <t>What the company states about itself</t>
        </is>
      </c>
      <c r="B4" s="2" t="n"/>
      <c r="C4" s="2" t="n"/>
      <c r="D4" s="2" t="n"/>
    </row>
    <row r="5">
      <c r="A5" s="5" t="inlineStr">
        <is>
          <t>finance.unit.price.initiative_listed.amt</t>
        </is>
      </c>
      <c r="B5" s="6" t="n">
        <v>25000</v>
      </c>
      <c r="C5" t="inlineStr">
        <is>
          <t>USD</t>
        </is>
      </c>
      <c r="D5" t="inlineStr">
        <is>
          <t>source=Investor deck slide 17, 'Fixed price $25K Per initiative/yr (75% GM)'</t>
        </is>
      </c>
    </row>
    <row r="6">
      <c r="A6" s="5" t="inlineStr">
        <is>
          <t>finance.unit.margin.initiative_claimed.pct</t>
        </is>
      </c>
      <c r="B6" s="6" t="n">
        <v>75</v>
      </c>
      <c r="C6" t="inlineStr">
        <is>
          <t>pct</t>
        </is>
      </c>
      <c r="D6" t="inlineStr">
        <is>
          <t>source=Investor deck slide 17, '(75% GM)'</t>
        </is>
      </c>
    </row>
    <row r="7">
      <c r="A7" s="5" t="inlineStr">
        <is>
          <t>finance.customer.price.bu_listed.amt</t>
        </is>
      </c>
      <c r="B7" s="6" t="n">
        <v>250000</v>
      </c>
      <c r="C7" t="inlineStr">
        <is>
          <t>USD</t>
        </is>
      </c>
      <c r="D7" t="inlineStr">
        <is>
          <t>source=Investor deck slide 17, 'Enterprise license Starting at $250,000 /yr/BU. (80% GM)'</t>
        </is>
      </c>
    </row>
    <row r="8">
      <c r="A8" s="5" t="inlineStr">
        <is>
          <t>finance.customer.margin.bu_claimed.pct</t>
        </is>
      </c>
      <c r="B8" s="6" t="n">
        <v>80</v>
      </c>
      <c r="C8" t="inlineStr">
        <is>
          <t>pct</t>
        </is>
      </c>
      <c r="D8" t="inlineStr">
        <is>
          <t>source=Investor deck slide 17, '(80% GM)'</t>
        </is>
      </c>
    </row>
    <row r="9">
      <c r="A9" s="5" t="inlineStr">
        <is>
          <t>market.customer.price.bu_tam_basis.amt</t>
        </is>
      </c>
      <c r="B9" s="6" t="n">
        <v>750000</v>
      </c>
      <c r="C9" t="inlineStr">
        <is>
          <t>USD</t>
        </is>
      </c>
      <c r="D9" t="inlineStr">
        <is>
          <t>source=Investor deck slide 41, 'Innovera Revenue Opportunity: $750K / BU x 25000 BU'</t>
        </is>
      </c>
    </row>
    <row r="10">
      <c r="A10" s="5" t="inlineStr">
        <is>
          <t>market.customer.bu.claimed.cnt</t>
        </is>
      </c>
      <c r="B10" s="6" t="n">
        <v>25000</v>
      </c>
      <c r="C10" t="inlineStr">
        <is>
          <t>count</t>
        </is>
      </c>
      <c r="D10" t="inlineStr">
        <is>
          <t>source=Investor deck slide 41, 'Global 5000 / 5 Business Units each' = 25,000 BU</t>
        </is>
      </c>
    </row>
    <row r="11">
      <c r="A11" s="5" t="inlineStr">
        <is>
          <t>finance.unit.price.initiative_competitive_table.amt</t>
        </is>
      </c>
      <c r="B11" s="6" t="n">
        <v>50000</v>
      </c>
      <c r="C11" t="inlineStr">
        <is>
          <t>USD</t>
        </is>
      </c>
      <c r="D11" t="inlineStr">
        <is>
          <t>source=Investor deck slide 42, competitive comparison row 'Cost ... $50,000'</t>
        </is>
      </c>
    </row>
    <row r="12">
      <c r="A12" s="5" t="inlineStr">
        <is>
          <t>finance.unit.price.pilot_recent.amt</t>
        </is>
      </c>
      <c r="B12" s="6" t="n">
        <v>40000</v>
      </c>
      <c r="C12" t="inlineStr">
        <is>
          <t>USD</t>
        </is>
      </c>
      <c r="D12" t="inlineStr">
        <is>
          <t>source=Investor deck slide 39, most recent rung 'Pilots @ $30-50K/case'; midpoint of the stated 30-50 band</t>
        </is>
      </c>
    </row>
    <row r="13">
      <c r="A13" s="5" t="inlineStr">
        <is>
          <t>market.initiative.value_asserted.amt</t>
        </is>
      </c>
      <c r="B13" s="6" t="n">
        <v>150000</v>
      </c>
      <c r="C13" t="inlineStr">
        <is>
          <t>USD</t>
        </is>
      </c>
      <c r="D13" t="inlineStr">
        <is>
          <t>source=Investor deck slide 41, 'VALUE: $150,000/initiative'</t>
        </is>
      </c>
    </row>
    <row r="14">
      <c r="A14" s="1" t="inlineStr">
        <is>
          <t>The categories the deck invokes, sized independently</t>
        </is>
      </c>
      <c r="B14" s="2" t="n"/>
      <c r="C14" s="2" t="n"/>
      <c r="D14" s="2" t="n"/>
    </row>
    <row r="15">
      <c r="A15" s="5" t="inlineStr">
        <is>
          <t>market.segment.strategy_consulting_low.amt</t>
        </is>
      </c>
      <c r="B15" s="6" t="n">
        <v>63690</v>
      </c>
      <c r="C15" t="inlineStr">
        <is>
          <t>USD M</t>
        </is>
      </c>
      <c r="D15" t="inlineStr">
        <is>
          <t>source=https://www.marketresearchfuture.com/reports/strategy-consulting-market-6980 (USD 63.69B, 2026)</t>
        </is>
      </c>
    </row>
    <row r="16">
      <c r="A16" s="5" t="inlineStr">
        <is>
          <t>market.segment.strategy_consulting_high.amt</t>
        </is>
      </c>
      <c r="B16" s="6" t="n">
        <v>68000</v>
      </c>
      <c r="C16" t="inlineStr">
        <is>
          <t>USD M</t>
        </is>
      </c>
      <c r="D16" t="inlineStr">
        <is>
          <t>source=https://www.verifiedmarketreports.com/product/strategy-consulting-market-size-and-forecast/ (USD 68B, 2025)</t>
        </is>
      </c>
    </row>
    <row r="17">
      <c r="A17" s="5" t="inlineStr">
        <is>
          <t>market.segment.innovation_consulting.amt</t>
        </is>
      </c>
      <c r="B17" s="6" t="n">
        <v>15970</v>
      </c>
      <c r="C17" t="inlineStr">
        <is>
          <t>USD M</t>
        </is>
      </c>
      <c r="D17" t="inlineStr">
        <is>
          <t>source=https://www.marketresearchfuture.com/reports/innovation-consulting-services-market-67063 (USD 15.97B, 2025)</t>
        </is>
      </c>
    </row>
    <row r="18">
      <c r="A18" s="5" t="inlineStr">
        <is>
          <t>market.segment.innovation_software_low.amt</t>
        </is>
      </c>
      <c r="B18" s="6" t="n">
        <v>878</v>
      </c>
      <c r="C18" t="inlineStr">
        <is>
          <t>USD M</t>
        </is>
      </c>
      <c r="D18" t="inlineStr">
        <is>
          <t>source=https://www.marketgrowthreports.com/market-reports/enterprise-innovation-management-software-market-123015 (USD 878.3M, 2026)</t>
        </is>
      </c>
    </row>
    <row r="19">
      <c r="A19" s="5" t="inlineStr">
        <is>
          <t>market.segment.innovation_software_high.amt</t>
        </is>
      </c>
      <c r="B19" s="6" t="n">
        <v>3570</v>
      </c>
      <c r="C19" t="inlineStr">
        <is>
          <t>USD M</t>
        </is>
      </c>
      <c r="D19" t="inlineStr">
        <is>
          <t>source=https://www.mordorintelligence.com/industry-reports/innovation-management-market (USD 3.57B, 2026)</t>
        </is>
      </c>
    </row>
    <row r="20">
      <c r="A20" s="5" t="inlineStr">
        <is>
          <t>market.opportunity.category_claimed.amt</t>
        </is>
      </c>
      <c r="B20" s="6" t="n">
        <v>65000</v>
      </c>
      <c r="C20" t="inlineStr">
        <is>
          <t>USD M</t>
        </is>
      </c>
      <c r="D20" t="inlineStr">
        <is>
          <t>source=Investor deck slides 6 and 24, '$65B growth consulting category' and '$65B+ Revenue Opportunity ... A New Enterprise Category'</t>
        </is>
      </c>
    </row>
    <row r="21">
      <c r="A21" s="1" t="inlineStr">
        <is>
          <t>The market, built bottom-up</t>
        </is>
      </c>
      <c r="B21" s="2" t="n"/>
      <c r="C21" s="2" t="n"/>
      <c r="D21" s="2" t="n"/>
    </row>
    <row r="22">
      <c r="A22" s="5" t="inlineStr">
        <is>
          <t>market.customer.large_enterprise.cnt</t>
        </is>
      </c>
      <c r="B22" s="6" t="n">
        <v>5000</v>
      </c>
      <c r="C22" t="inlineStr">
        <is>
          <t>count</t>
        </is>
      </c>
      <c r="D22" t="inlineStr">
        <is>
          <t>source=https://theglobal5000.com/databases/the-global-5000-companies/ The Global 5000, the 5,000 largest companies worldwide by revenue, public and private, every constituent above about USD 1.1B in annual revenue</t>
        </is>
      </c>
    </row>
    <row r="23">
      <c r="A23" s="5" t="inlineStr">
        <is>
          <t>market.customer.growth_function.pct.low</t>
        </is>
      </c>
      <c r="B23" s="6" t="n">
        <v>30</v>
      </c>
      <c r="C23" t="inlineStr">
        <is>
          <t>pct</t>
        </is>
      </c>
      <c r="D23" t="inlineStr">
        <is>
          <t>source=estimate; the share if a funded growth-initiative buyer is largely confined to the upper part of the universe</t>
        </is>
      </c>
    </row>
    <row r="24">
      <c r="A24" s="5" t="inlineStr">
        <is>
          <t>market.customer.growth_function.pct.mid</t>
        </is>
      </c>
      <c r="B24" s="6" t="n">
        <v>45</v>
      </c>
      <c r="C24" t="inlineStr">
        <is>
          <t>pct</t>
        </is>
      </c>
      <c r="D24" t="inlineStr">
        <is>
          <t>source=estimate; the middle setting used for the headline build</t>
        </is>
      </c>
    </row>
    <row r="25">
      <c r="A25" s="5" t="inlineStr">
        <is>
          <t>market.customer.growth_function.pct.high</t>
        </is>
      </c>
      <c r="B25" s="6" t="n">
        <v>65</v>
      </c>
      <c r="C25" t="inlineStr">
        <is>
          <t>pct</t>
        </is>
      </c>
      <c r="D25" t="inlineStr">
        <is>
          <t>source=estimate; the share if most companies above USD 1.1B of revenue run such a function. This was the single value an earlier version of this model asserted without varying it</t>
        </is>
      </c>
    </row>
    <row r="26">
      <c r="A26" s="5" t="inlineStr">
        <is>
          <t>market.customer.buying_unit_per_company.cnt.low</t>
        </is>
      </c>
      <c r="B26" s="6" t="n">
        <v>1</v>
      </c>
      <c r="C26" t="inlineStr">
        <is>
          <t>count</t>
        </is>
      </c>
      <c r="D26" t="inlineStr">
        <is>
          <t>source=estimate; one central corporate strategy or new-ventures function</t>
        </is>
      </c>
    </row>
    <row r="27">
      <c r="A27" s="5" t="inlineStr">
        <is>
          <t>market.customer.buying_unit_per_company.cnt.mid</t>
        </is>
      </c>
      <c r="B27" s="6" t="n">
        <v>2</v>
      </c>
      <c r="C27" t="inlineStr">
        <is>
          <t>count</t>
        </is>
      </c>
      <c r="D27" t="inlineStr">
        <is>
          <t>source=estimate; one central function plus one divisional equivalent</t>
        </is>
      </c>
    </row>
    <row r="28">
      <c r="A28" s="5" t="inlineStr">
        <is>
          <t>market.customer.buying_unit_per_company.cnt.high</t>
        </is>
      </c>
      <c r="B28" s="6" t="n">
        <v>3</v>
      </c>
      <c r="C28" t="inlineStr">
        <is>
          <t>count</t>
        </is>
      </c>
      <c r="D28" t="inlineStr">
        <is>
          <t>source=estimate; a central function plus two divisional equivalents. The deck assumes five (slide 41)</t>
        </is>
      </c>
    </row>
    <row r="29">
      <c r="A29" s="1" t="inlineStr">
        <is>
          <t>What one engagement costs to deliver</t>
        </is>
      </c>
      <c r="B29" s="2" t="n"/>
      <c r="C29" s="2" t="n"/>
      <c r="D29" s="2" t="n"/>
    </row>
    <row r="30">
      <c r="A30" s="5" t="inlineStr">
        <is>
          <t>ops.team.advisor_compensation.amt.average</t>
        </is>
      </c>
      <c r="B30" s="6" t="n">
        <v>193622</v>
      </c>
      <c r="C30" t="inlineStr">
        <is>
          <t>USD</t>
        </is>
      </c>
      <c r="D30" t="inlineStr">
        <is>
          <t>source=https://www.salary.com/research/salary/position/senior-strategy-consultant-salary stated average for the role; the model uses 200,000 as its point estimate</t>
        </is>
      </c>
    </row>
    <row r="31">
      <c r="A31" s="5" t="inlineStr">
        <is>
          <t>ops.team.advisor_compensation.amt.low</t>
        </is>
      </c>
      <c r="B31" s="6" t="n">
        <v>147431</v>
      </c>
      <c r="C31" t="inlineStr">
        <is>
          <t>USD</t>
        </is>
      </c>
      <c r="D31" t="inlineStr">
        <is>
          <t>source=https://www.salary.com/research/salary/position/senior-strategy-consultant-salary 25th percentile</t>
        </is>
      </c>
    </row>
    <row r="32">
      <c r="A32" s="5" t="inlineStr">
        <is>
          <t>ops.team.advisor_compensation.amt.high</t>
        </is>
      </c>
      <c r="B32" s="6" t="n">
        <v>258139</v>
      </c>
      <c r="C32" t="inlineStr">
        <is>
          <t>USD</t>
        </is>
      </c>
      <c r="D32" t="inlineStr">
        <is>
          <t>source=https://www.salary.com/research/salary/position/senior-strategy-consultant-salary 75th percentile</t>
        </is>
      </c>
    </row>
    <row r="33">
      <c r="A33" s="5" t="inlineStr">
        <is>
          <t>ops.team.advisor_compensation.amt</t>
        </is>
      </c>
      <c r="B33" s="6" t="n">
        <v>200000</v>
      </c>
      <c r="C33" t="inlineStr">
        <is>
          <t>USD</t>
        </is>
      </c>
      <c r="D33" t="inlineStr">
        <is>
          <t>source=https://www.salary.com/research/salary/position/senior-strategy-consultant-salary (senior strategy consultant average USD 193,622; 25th-75th percentile 147,431-258,139). Set at 200,000 base for a practitioner senior enough to sign off on client-facing work</t>
        </is>
      </c>
    </row>
    <row r="34">
      <c r="A34" s="5" t="inlineStr">
        <is>
          <t>_ops.team.employment_load.ratio</t>
        </is>
      </c>
      <c r="B34" s="6" t="n">
        <v>1.3</v>
      </c>
      <c r="C34" t="inlineStr">
        <is>
          <t>ratio</t>
        </is>
      </c>
      <c r="D34" t="inlineStr">
        <is>
          <t>source=estimate; payroll taxes, benefits and employment overhead at 30 percent of base, the standard US fully-loaded convention. Excludes facilities and tooling</t>
        </is>
      </c>
    </row>
    <row r="35">
      <c r="A35" s="5" t="inlineStr">
        <is>
          <t>ops.team.advisor_hour_available.cnt</t>
        </is>
      </c>
      <c r="B35" s="6" t="n">
        <v>1800</v>
      </c>
      <c r="C35" t="inlineStr">
        <is>
          <t>count</t>
        </is>
      </c>
      <c r="D35" t="inlineStr">
        <is>
          <t>source=estimate; 2,080 scheduled hours less vacation, holiday and internal time. Deliberately generous: it books no time for selling, recruiting or product feedback</t>
        </is>
      </c>
    </row>
    <row r="36">
      <c r="A36" s="5" t="inlineStr">
        <is>
          <t>ops.initiative.advisor_hour.cnt</t>
        </is>
      </c>
      <c r="B36" s="6" t="n">
        <v>80</v>
      </c>
      <c r="C36" t="inlineStr">
        <is>
          <t>count</t>
        </is>
      </c>
      <c r="D36" t="inlineStr">
        <is>
          <t>source=estimate derived from cases/IoI/input/Innovera Client Journey.html, which assigns the advisor the intake session, briefing-document editing, review of three market workstreams, the Opportunity Assessment Overview, review of the synthesized business analysis, expert coordination, and review of every output before delivery, across four gated phases. 80 hours is two working weeks of one person, against a stated turnaround of under two weeks</t>
        </is>
      </c>
    </row>
    <row r="37">
      <c r="A37" s="5" t="inlineStr">
        <is>
          <t>ops.initiative.advisor_hour_navigate.cnt</t>
        </is>
      </c>
      <c r="B37" s="6" t="n">
        <v>150</v>
      </c>
      <c r="C37" t="inlineStr">
        <is>
          <t>count</t>
        </is>
      </c>
      <c r="D37" t="inlineStr">
        <is>
          <t>source=estimate derived from the same document's Phase 04, which specifies a weekly recomputation cycle with advisor review before every client delivery: 3 hours per week across 50 weeks</t>
        </is>
      </c>
    </row>
    <row r="38">
      <c r="A38" s="5" t="inlineStr">
        <is>
          <t>ops.initiative.expert_session.cnt</t>
        </is>
      </c>
      <c r="B38" s="6" t="n">
        <v>3</v>
      </c>
      <c r="C38" t="inlineStr">
        <is>
          <t>count</t>
        </is>
      </c>
      <c r="D38" t="inlineStr">
        <is>
          <t>source=estimate; the Client Journey engages experts against specific unvalidated assumptions on a triggered basis, and three is the low end for a case carrying the 10 business dimensions the engine covers</t>
        </is>
      </c>
    </row>
    <row r="39">
      <c r="A39" s="5" t="inlineStr">
        <is>
          <t>_ops.team.expert_hour_cost.amt</t>
        </is>
      </c>
      <c r="B39" s="6" t="n">
        <v>500</v>
      </c>
      <c r="C39" t="inlineStr">
        <is>
          <t>USD</t>
        </is>
      </c>
      <c r="D39" t="inlineStr">
        <is>
          <t>source=https://valueaddvc.com/blog/expert-networks-for-investors-how-they-work-and-which-are-worth-paying-for (expert networks pay experts USD 250-800 per hour); midpoint 525 rounded to 500</t>
        </is>
      </c>
    </row>
    <row r="40">
      <c r="A40" s="5" t="inlineStr">
        <is>
          <t>_ops.initiative.expert_hour_per_session.cnt</t>
        </is>
      </c>
      <c r="B40" s="6" t="n">
        <v>2</v>
      </c>
      <c r="C40" t="inlineStr">
        <is>
          <t>count</t>
        </is>
      </c>
      <c r="D40" t="inlineStr">
        <is>
          <t>source=estimate; a structured session framed around one claim or assumption</t>
        </is>
      </c>
    </row>
    <row r="41">
      <c r="A41" s="5" t="inlineStr">
        <is>
          <t>ops.team.advisor_hour_scheduled.cnt</t>
        </is>
      </c>
      <c r="B41" s="6" t="n">
        <v>2080</v>
      </c>
      <c r="C41" t="inlineStr">
        <is>
          <t>count</t>
        </is>
      </c>
      <c r="D41" t="inlineStr">
        <is>
          <t>source=estimate; 40 hours across 52 weeks, the conventional scheduled-hours base that professional-services utilization rates are quoted against</t>
        </is>
      </c>
    </row>
    <row r="42">
      <c r="A42" s="5" t="inlineStr">
        <is>
          <t>ops.team.advisor_utilization.pct</t>
        </is>
      </c>
      <c r="B42" s="6" t="n">
        <v>70</v>
      </c>
      <c r="C42" t="inlineStr">
        <is>
          <t>pct</t>
        </is>
      </c>
      <c r="D42" t="inlineStr">
        <is>
          <t>source=estimate; professional-services billable utilization typically runs 60-75 percent, and 70 is the middle of that</t>
        </is>
      </c>
    </row>
    <row r="43">
      <c r="A43" s="5" t="inlineStr">
        <is>
          <t>ops.initiative.inference_cost.amt</t>
        </is>
      </c>
      <c r="B43" s="6" t="n">
        <v>250</v>
      </c>
      <c r="C43" t="inlineStr">
        <is>
          <t>USD</t>
        </is>
      </c>
      <c r="D43" t="inlineStr">
        <is>
          <t>source=estimate; a multi-agent analysis across 10 business dimensions with iterative review. Small enough that it does not move the margin, and stated so that it is not assumed to be the reason margins are low</t>
        </is>
      </c>
    </row>
    <row r="44">
      <c r="A44" s="1" t="inlineStr">
        <is>
          <t>Gross margin on the fully-absorbed basis, comparable to external benchmarks</t>
        </is>
      </c>
      <c r="B44" s="2" t="n"/>
      <c r="C44" s="2" t="n"/>
      <c r="D44" s="2" t="n"/>
    </row>
    <row r="45">
      <c r="A45" s="5" t="inlineStr">
        <is>
          <t>finance.unit.margin.target.pct</t>
        </is>
      </c>
      <c r="B45" s="6" t="n">
        <v>60</v>
      </c>
      <c r="C45" t="inlineStr">
        <is>
          <t>pct</t>
        </is>
      </c>
      <c r="D45" t="inlineStr">
        <is>
          <t>source=https://valueaddvc.com/blog/what-series-a-investors-are-looking-for-in-ai-startups-in-2026 which frames this figure as a trajectory rather than a floor: 'gross margin trending above 60%', against a 2026 baseline of about 52%. The same page states that 'a company at 55% gross margin today with a credible path to 65-70% ... is a more fundable story than a company claiming an already-inflated 75% margin that won't survive scale'. Used here as the level a trajectory should be heading toward, not as a pass mark</t>
        </is>
      </c>
    </row>
    <row r="46">
      <c r="A46" s="1" t="inlineStr">
        <is>
          <t>Gross margin as the delivery model implies it</t>
        </is>
      </c>
      <c r="B46" s="2" t="n"/>
      <c r="C46" s="2" t="n"/>
      <c r="D46" s="2" t="n"/>
    </row>
    <row r="47">
      <c r="A47" s="5" t="inlineStr">
        <is>
          <t>finance.unit.price.pilot_band_low.amt</t>
        </is>
      </c>
      <c r="B47" s="6" t="n">
        <v>30000</v>
      </c>
      <c r="C47" t="inlineStr">
        <is>
          <t>USD</t>
        </is>
      </c>
      <c r="D47" t="inlineStr">
        <is>
          <t>source=Investor deck slide 39, lower bound of 'Pilots @ $30-50K/case'</t>
        </is>
      </c>
    </row>
    <row r="48">
      <c r="A48" s="5" t="inlineStr">
        <is>
          <t>finance.unit.price.pilot_band_high.amt</t>
        </is>
      </c>
      <c r="B48" s="6" t="n">
        <v>50000</v>
      </c>
      <c r="C48" t="inlineStr">
        <is>
          <t>USD</t>
        </is>
      </c>
      <c r="D48" t="inlineStr">
        <is>
          <t>source=Investor deck slide 39, upper bound of 'Pilots @ $30-50K/case'</t>
        </is>
      </c>
    </row>
    <row r="49">
      <c r="A49" s="5" t="inlineStr">
        <is>
          <t>ops.customer.initiative_per_bu.cnt</t>
        </is>
      </c>
      <c r="B49" s="6" t="n">
        <v>5</v>
      </c>
      <c r="C49" t="inlineStr">
        <is>
          <t>count</t>
        </is>
      </c>
      <c r="D49" t="inlineStr">
        <is>
          <t>source=estimate; the enterprise tier is sold as 'Multiple Initiatives / Portfolio &amp; resource optimization' (investor deck slide 17) and the one converted account expanded to five growth areas (slide 15)</t>
        </is>
      </c>
    </row>
    <row r="50">
      <c r="A50" s="1" t="inlineStr">
        <is>
          <t>The stated trajectory, and what it requires</t>
        </is>
      </c>
      <c r="B50" s="2" t="n"/>
      <c r="C50" s="2" t="n"/>
      <c r="D50" s="2" t="n"/>
    </row>
    <row r="51">
      <c r="A51" s="5" t="inlineStr">
        <is>
          <t>finance.revenue.arr_plan.amt.2026</t>
        </is>
      </c>
      <c r="B51" s="6" t="n">
        <v>6</v>
      </c>
      <c r="C51" t="inlineStr">
        <is>
          <t>USD M</t>
        </is>
      </c>
      <c r="D51" t="inlineStr">
        <is>
          <t>source=Investor deck slide 41, 'Innovera ARR at end of year' series</t>
        </is>
      </c>
    </row>
    <row r="52">
      <c r="A52" s="5" t="inlineStr">
        <is>
          <t>finance.revenue.arr_plan.amt.2027</t>
        </is>
      </c>
      <c r="B52" s="6" t="n">
        <v>34</v>
      </c>
      <c r="C52" t="inlineStr">
        <is>
          <t>USD M</t>
        </is>
      </c>
      <c r="D52" t="inlineStr">
        <is>
          <t>source=Investor deck slide 41, 'Innovera ARR at end of year' series</t>
        </is>
      </c>
    </row>
    <row r="53">
      <c r="A53" s="5" t="inlineStr">
        <is>
          <t>finance.revenue.arr_plan.amt.2028</t>
        </is>
      </c>
      <c r="B53" s="6" t="n">
        <v>124</v>
      </c>
      <c r="C53" t="inlineStr">
        <is>
          <t>USD M</t>
        </is>
      </c>
      <c r="D53" t="inlineStr">
        <is>
          <t>source=Investor deck slide 41, 'Innovera ARR at end of year' series</t>
        </is>
      </c>
    </row>
    <row r="54">
      <c r="A54" s="5" t="inlineStr">
        <is>
          <t>finance.revenue.arr_plan.amt.2029</t>
        </is>
      </c>
      <c r="B54" s="6" t="n">
        <v>265</v>
      </c>
      <c r="C54" t="inlineStr">
        <is>
          <t>USD M</t>
        </is>
      </c>
      <c r="D54" t="inlineStr">
        <is>
          <t>source=Investor deck slide 41, 'Innovera ARR at end of year' series</t>
        </is>
      </c>
    </row>
    <row r="55">
      <c r="A55" s="5" t="inlineStr">
        <is>
          <t>_market.competitor.saas_growth_median.pct</t>
        </is>
      </c>
      <c r="B55" s="6" t="n">
        <v>26</v>
      </c>
      <c r="C55" t="inlineStr">
        <is>
          <t>pct</t>
        </is>
      </c>
      <c r="D55" t="inlineStr">
        <is>
          <t>source=https://saasmetricscalculator.com/saas-benchmarks-by-arr-tier reporting SaaS Capital's survey of more than 1,000 private B2B SaaS companies, 2026 median growth 25-26 percent; upper end taken</t>
        </is>
      </c>
    </row>
    <row r="56">
      <c r="A56" s="5" t="inlineStr">
        <is>
          <t>_market.competitor.saas_growth_top_quartile.pct</t>
        </is>
      </c>
      <c r="B56" s="6" t="n">
        <v>70</v>
      </c>
      <c r="C56" t="inlineStr">
        <is>
          <t>pct</t>
        </is>
      </c>
      <c r="D56" t="inlineStr">
        <is>
          <t>source=https://saasmetricscalculator.com/saas-benchmarks-by-arr-tier, top quartile above 70 percent for companies at USD 5-10M ARR</t>
        </is>
      </c>
    </row>
    <row r="57">
      <c r="A57" s="1" t="inlineStr">
        <is>
          <t>Where the evidence puts the near term</t>
        </is>
      </c>
      <c r="B57" s="2" t="n"/>
      <c r="C57" s="2" t="n"/>
      <c r="D57" s="2" t="n"/>
    </row>
    <row r="58">
      <c r="A58" s="5" t="inlineStr">
        <is>
          <t>demand.customer.paid_pilot.cnt</t>
        </is>
      </c>
      <c r="B58" s="6" t="n">
        <v>20</v>
      </c>
      <c r="C58" t="inlineStr">
        <is>
          <t>count</t>
        </is>
      </c>
      <c r="D58" t="inlineStr">
        <is>
          <t>source=Investor deck slides 7 and 39, '20+ Paid Pilots' and '20 pilots in 6 months since v.1.0 launch'; the stated floor is used, not a higher reading of '20+'</t>
        </is>
      </c>
    </row>
    <row r="59">
      <c r="A59" s="5" t="inlineStr">
        <is>
          <t>demand.customer.pipeline.cnt</t>
        </is>
      </c>
      <c r="B59" s="6" t="n">
        <v>80</v>
      </c>
      <c r="C59" t="inlineStr">
        <is>
          <t>count</t>
        </is>
      </c>
      <c r="D59" t="inlineStr">
        <is>
          <t>source=Investor deck slide 7, '80+ Enterprises in the Pipeline'; stated floor used</t>
        </is>
      </c>
    </row>
    <row r="60">
      <c r="A60" s="5" t="inlineStr">
        <is>
          <t>demand.customer.conversion_observed.cnt</t>
        </is>
      </c>
      <c r="B60" s="6" t="n">
        <v>1</v>
      </c>
      <c r="C60" t="inlineStr">
        <is>
          <t>count</t>
        </is>
      </c>
      <c r="D60" t="inlineStr">
        <is>
          <t>source=Investor deck slide 15 and client deck slide 9, the LG Innotek conversion to a full annual engagement. It is the only conversion named in any input</t>
        </is>
      </c>
    </row>
    <row r="61">
      <c r="A61" s="5" t="inlineStr">
        <is>
          <t>demand.customer.conversion.pct.low</t>
        </is>
      </c>
      <c r="B61" s="6" t="n">
        <v>5</v>
      </c>
      <c r="C61" t="inlineStr">
        <is>
          <t>pct</t>
        </is>
      </c>
      <c r="D61" t="inlineStr">
        <is>
          <t>source=estimate; the observed rate to date, held flat. It is the low scenario rather than the base: the pilot cohort is too young for its eventual conversion rate to have shown up, so the observed figure is a floor. The middle scenario is the most likely one and every headline figure in the memo uses it</t>
        </is>
      </c>
    </row>
    <row r="62">
      <c r="A62" s="5" t="inlineStr">
        <is>
          <t>demand.customer.conversion.pct.mid</t>
        </is>
      </c>
      <c r="B62" s="6" t="n">
        <v>15</v>
      </c>
      <c r="C62" t="inlineStr">
        <is>
          <t>pct</t>
        </is>
      </c>
      <c r="D62" t="inlineStr">
        <is>
          <t>source=estimate; three times the observed rate, on the reasoning that the price ladder rose through the pilot series and later pilots were sold at higher prices to better-qualified buyers</t>
        </is>
      </c>
    </row>
    <row r="63">
      <c r="A63" s="5" t="inlineStr">
        <is>
          <t>demand.customer.conversion.pct.high</t>
        </is>
      </c>
      <c r="B63" s="6" t="n">
        <v>30</v>
      </c>
      <c r="C63" t="inlineStr">
        <is>
          <t>pct</t>
        </is>
      </c>
      <c r="D63" t="inlineStr">
        <is>
          <t>source=estimate; the rate a strong enterprise land-and-expand motion achieves, applied to a pool of 20</t>
        </is>
      </c>
    </row>
    <row r="64">
      <c r="A64" s="5" t="inlineStr">
        <is>
          <t>demand.customer.pipeline_to_paid.pct</t>
        </is>
      </c>
      <c r="B64" s="6" t="n">
        <v>25</v>
      </c>
      <c r="C64" t="inlineStr">
        <is>
          <t>pct</t>
        </is>
      </c>
      <c r="D64" t="inlineStr">
        <is>
          <t>source=estimate, and close to the rate the company has already achieved: 20 paid pilots against an 80-company pipeline is 25 percent. An earlier version of this model buried this figure as a literal inside the pool derivation, where nothing could vary it</t>
        </is>
      </c>
    </row>
    <row r="65">
      <c r="A65" s="5" t="inlineStr">
        <is>
          <t>finance.customer.price.bu_realized.amt.low</t>
        </is>
      </c>
      <c r="B65" s="6" t="n">
        <v>120000</v>
      </c>
      <c r="C65" t="inlineStr">
        <is>
          <t>USD</t>
        </is>
      </c>
      <c r="D65" t="inlineStr">
        <is>
          <t>source=estimate; a two-to-three initiative annual engagement priced at the $30-50K per case the market has paid, rather than at the enterprise list price</t>
        </is>
      </c>
    </row>
    <row r="66">
      <c r="A66" s="5" t="inlineStr">
        <is>
          <t>finance.customer.price.bu_realized.amt.mid</t>
        </is>
      </c>
      <c r="B66" s="6" t="n">
        <v>200000</v>
      </c>
      <c r="C66" t="inlineStr">
        <is>
          <t>USD</t>
        </is>
      </c>
      <c r="D66" t="inlineStr">
        <is>
          <t>source=estimate; five initiatives at the $40K midpoint of the price the recent pilots were sold at, which is what the enterprise tier bundles</t>
        </is>
      </c>
    </row>
    <row r="67">
      <c r="A67" s="5" t="inlineStr">
        <is>
          <t>finance.customer.price.bu_realized.amt.high</t>
        </is>
      </c>
      <c r="B67" s="6" t="n">
        <v>250000</v>
      </c>
      <c r="C67" t="inlineStr">
        <is>
          <t>USD</t>
        </is>
      </c>
      <c r="D67" t="inlineStr">
        <is>
          <t>related_to=finance.customer.price.bu_listed.amt (positive); the published list price, achieved. No contract at this price is evidenced in any input</t>
        </is>
      </c>
    </row>
    <row r="68">
      <c r="A68" s="1" t="inlineStr">
        <is>
          <t>The raise, and what it buys</t>
        </is>
      </c>
      <c r="B68" s="2" t="n"/>
      <c r="C68" s="2" t="n"/>
      <c r="D68" s="2" t="n"/>
    </row>
    <row r="69">
      <c r="A69" s="5" t="inlineStr">
        <is>
          <t>frame.capital.raise_target_low.amt</t>
        </is>
      </c>
      <c r="B69" s="6" t="n">
        <v>5</v>
      </c>
      <c r="C69" t="inlineStr">
        <is>
          <t>USD M</t>
        </is>
      </c>
      <c r="D69" t="inlineStr">
        <is>
          <t>source=cases/IoI/input/Innovera-case-brief.md, 'expects to raise $5M-$10M'</t>
        </is>
      </c>
    </row>
    <row r="70">
      <c r="A70" s="5" t="inlineStr">
        <is>
          <t>frame.capital.raise_target_high.amt</t>
        </is>
      </c>
      <c r="B70" s="6" t="n">
        <v>10</v>
      </c>
      <c r="C70" t="inlineStr">
        <is>
          <t>USD M</t>
        </is>
      </c>
      <c r="D70" t="inlineStr">
        <is>
          <t>source=cases/IoI/input/Innovera-case-brief.md, 'expects to raise $5M-$10M'</t>
        </is>
      </c>
    </row>
    <row r="71">
      <c r="A71" s="5" t="inlineStr">
        <is>
          <t>_market.competitor.series_a_arr_low.amt</t>
        </is>
      </c>
      <c r="B71" s="6" t="n">
        <v>2</v>
      </c>
      <c r="C71" t="inlineStr">
        <is>
          <t>USD M</t>
        </is>
      </c>
      <c r="D71" t="inlineStr">
        <is>
          <t>source=https://www.crv.com/content/series-a-metrics-vcs-expect, 'ARR benchmark for a competitive Series A raise in B2B SaaS generally starts at $2 million to $5 million'</t>
        </is>
      </c>
    </row>
    <row r="72">
      <c r="A72" s="5" t="inlineStr">
        <is>
          <t>_market.competitor.series_a_arr_high.amt</t>
        </is>
      </c>
      <c r="B72" s="6" t="n">
        <v>5</v>
      </c>
      <c r="C72" t="inlineStr">
        <is>
          <t>USD M</t>
        </is>
      </c>
      <c r="D72" t="inlineStr">
        <is>
          <t>source=https://www.crv.com/content/series-a-metrics-vcs-expect, same range, upper bound</t>
        </is>
      </c>
    </row>
    <row r="73">
      <c r="A73" s="5" t="inlineStr">
        <is>
          <t>market.competitor.series_a_arr_median.amt</t>
        </is>
      </c>
      <c r="B73" s="6" t="n">
        <v>2.5</v>
      </c>
      <c r="C73" t="inlineStr">
        <is>
          <t>USD M</t>
        </is>
      </c>
      <c r="D73" t="inlineStr">
        <is>
          <t>source=https://www.crv.com/content/series-a-metrics-vcs-expect, 'Median reached $2.5 million in 2025'</t>
        </is>
      </c>
    </row>
    <row r="74">
      <c r="A74" s="5" t="inlineStr">
        <is>
          <t>market.competitor.series_a_round_low.amt</t>
        </is>
      </c>
      <c r="B74" s="6" t="n">
        <v>5</v>
      </c>
      <c r="C74" t="inlineStr">
        <is>
          <t>USD M</t>
        </is>
      </c>
      <c r="D74" t="inlineStr">
        <is>
          <t>source=https://www.crv.com/content/series-a-metrics-vcs-expect, 'Round Size: $5-15 million median in 2025'</t>
        </is>
      </c>
    </row>
    <row r="75">
      <c r="A75" s="5" t="inlineStr">
        <is>
          <t>market.competitor.series_a_round_high.amt</t>
        </is>
      </c>
      <c r="B75" s="6" t="n">
        <v>15</v>
      </c>
      <c r="C75" t="inlineStr">
        <is>
          <t>USD M</t>
        </is>
      </c>
      <c r="D75" t="inlineStr">
        <is>
          <t>source=https://www.crv.com/content/series-a-metrics-vcs-expect, same range, upper bound</t>
        </is>
      </c>
    </row>
    <row r="76">
      <c r="A76" s="5" t="inlineStr">
        <is>
          <t>_market.competitor.burn_multiple_acceptable.ratio</t>
        </is>
      </c>
      <c r="B76" s="6" t="n">
        <v>1</v>
      </c>
      <c r="C76" t="inlineStr">
        <is>
          <t>ratio</t>
        </is>
      </c>
      <c r="D76" t="inlineStr">
        <is>
          <t>source=https://www.crv.com/content/series-a-metrics-vcs-expect, burn multiple 'with 1x considered acceptable (burning $1 per $1 of new ARR)'</t>
        </is>
      </c>
    </row>
    <row r="77">
      <c r="A77" s="5" t="inlineStr">
        <is>
          <t>market.competitor.ai_gross_margin_average.pct</t>
        </is>
      </c>
      <c r="B77" s="6" t="n">
        <v>52</v>
      </c>
      <c r="C77" t="inlineStr">
        <is>
          <t>pct</t>
        </is>
      </c>
      <c r="D77" t="inlineStr">
        <is>
          <t>source=https://valueaddvc.com/blog/what-series-a-investors-are-looking-for-in-ai-startups-in-2026 'AI product builders are now expected to average closer to 52% gross margin in 2026' with a 'glide path up' to 60 percent plus</t>
        </is>
      </c>
    </row>
    <row r="78">
      <c r="A78" s="5" t="inlineStr">
        <is>
          <t>market.competitor.ai_gross_margin_glide.pct</t>
        </is>
      </c>
      <c r="B78" s="6" t="n">
        <v>60</v>
      </c>
      <c r="C78" t="inlineStr">
        <is>
          <t>pct</t>
        </is>
      </c>
      <c r="D78" t="inlineStr">
        <is>
          <t>source=https://valueaddvc.com/blog/what-series-a-investors-are-looking-for-in-ai-startups-in-2026 the upper end of the same AI-specific band, stated there as a trajectory ('trending above 60%') rather than a floor. The same page reports the older pure-software expectation as 70-80 percent, which is the band this replaced for AI companies</t>
        </is>
      </c>
    </row>
    <row r="79">
      <c r="A79" s="5" t="inlineStr">
        <is>
          <t>market.competitor.nrr_baseline.pct</t>
        </is>
      </c>
      <c r="B79" s="6" t="n">
        <v>100</v>
      </c>
      <c r="C79" t="inlineStr">
        <is>
          <t>pct</t>
        </is>
      </c>
      <c r="D79" t="inlineStr">
        <is>
          <t>source=https://www.crv.com/content/series-a-metrics-vcs-expect '100% as a baseline, 110-120% as competitive'</t>
        </is>
      </c>
    </row>
    <row r="80">
      <c r="A80" s="5" t="inlineStr">
        <is>
          <t>market.competitor.nrr_competitive.pct</t>
        </is>
      </c>
      <c r="B80" s="6" t="n">
        <v>120</v>
      </c>
      <c r="C80" t="inlineStr">
        <is>
          <t>pct</t>
        </is>
      </c>
      <c r="D80" t="inlineStr">
        <is>
          <t>source=https://www.crv.com/content/series-a-metrics-vcs-expect upper end of the competitive band; https://valueaddvc.com/blog/what-series-a-investors-are-looking-for-in-ai-startups-in-2026 puts the 2026 working threshold at '120%-plus'</t>
        </is>
      </c>
    </row>
    <row r="81">
      <c r="A81" s="5" t="inlineStr">
        <is>
          <t>market.competitor.series_a_arr_ai.amt</t>
        </is>
      </c>
      <c r="B81" s="6" t="n">
        <v>3.5</v>
      </c>
      <c r="C81" t="inlineStr">
        <is>
          <t>USD M</t>
        </is>
      </c>
      <c r="D81" t="inlineStr">
        <is>
          <t>source=https://valueaddvc.com/blog/what-series-a-investors-are-looking-for-in-ai-startups-in-2026 'Series A investors in 2026 want roughly $3.5 million in ARR', up from about $1M three years earlier. This is the bar from the same page the AI gross-margin band is taken from</t>
        </is>
      </c>
    </row>
    <row r="82">
      <c r="A82" s="5" t="inlineStr">
        <is>
          <t>market.competitor.series_a_arr_ai_fundable.amt</t>
        </is>
      </c>
      <c r="B82" s="6" t="n">
        <v>2</v>
      </c>
      <c r="C82" t="inlineStr">
        <is>
          <t>USD M</t>
        </is>
      </c>
      <c r="D82" t="inlineStr">
        <is>
          <t>source=https://valueaddvc.com/blog/what-series-a-investors-are-looking-for-in-ai-startups-in-2026 'A founder clearing $2 million ARR with strong growth can still get funded, but $3.5 million is now the median a company needs to run a competitive, multi-term-sheet process'</t>
        </is>
      </c>
    </row>
    <row r="83">
      <c r="A83" s="5" t="inlineStr">
        <is>
          <t>market.competitor.seed_round_median.amt</t>
        </is>
      </c>
      <c r="B83" s="6" t="n">
        <v>3.1</v>
      </c>
      <c r="C83" t="inlineStr">
        <is>
          <t>USD M</t>
        </is>
      </c>
      <c r="D83" t="inlineStr">
        <is>
          <t>source=https://valueaddvc.com/blog/startup-funding-rounds-in-2025-whats-normal-at-pre-seed-seed-a-and-b median US seed round in 2026 of about USD 3.1M across all industries</t>
        </is>
      </c>
    </row>
    <row r="84">
      <c r="A84" s="5" t="inlineStr">
        <is>
          <t>market.competitor.seed_round_ai_median.amt</t>
        </is>
      </c>
      <c r="B84" s="6" t="n">
        <v>4.6</v>
      </c>
      <c r="C84" t="inlineStr">
        <is>
          <t>USD M</t>
        </is>
      </c>
      <c r="D84" t="inlineStr">
        <is>
          <t>source=https://valueaddvc.com/blog/startup-funding-rounds-in-2025-whats-normal-at-pre-seed-seed-a-and-b AI startups raising a median seed of about USD 4.6M, a 1.3x premium on round size</t>
        </is>
      </c>
    </row>
    <row r="85">
      <c r="A85" s="5" t="inlineStr">
        <is>
          <t>market.competitor.seed_arr_expected.amt</t>
        </is>
      </c>
      <c r="B85" s="6" t="n">
        <v>0.4</v>
      </c>
      <c r="C85" t="inlineStr">
        <is>
          <t>USD M</t>
        </is>
      </c>
      <c r="D85" t="inlineStr">
        <is>
          <t>source=https://waveup.com/blog/startup-funding-stages/ reporting that many seed investors in 2026 expect USD 300-500K of ARR with early evidence of efficient growth; midpoint used</t>
        </is>
      </c>
    </row>
    <row r="86">
      <c r="A86" s="5" t="inlineStr">
        <is>
          <t>strategy.capital.delivery_share.pct</t>
        </is>
      </c>
      <c r="B86" s="6" t="n">
        <v>40</v>
      </c>
      <c r="C86" t="inlineStr">
        <is>
          <t>pct</t>
        </is>
      </c>
      <c r="D86" t="inlineStr">
        <is>
          <t>source=estimate; the share of a round a services-weighted company would put into delivery capacity rather than product and sales</t>
        </is>
      </c>
    </row>
    <row r="87">
      <c r="A87" s="1" t="inlineStr">
        <is>
          <t>Comparators</t>
        </is>
      </c>
      <c r="B87" s="2" t="n"/>
      <c r="C87" s="2" t="n"/>
      <c r="D87" s="2" t="n"/>
    </row>
    <row r="88">
      <c r="A88" s="5" t="inlineStr">
        <is>
          <t>market.competitor.palantir_revenue.amt</t>
        </is>
      </c>
      <c r="B88" s="6" t="n">
        <v>4475</v>
      </c>
      <c r="C88" t="inlineStr">
        <is>
          <t>USD M</t>
        </is>
      </c>
      <c r="D88" t="inlineStr">
        <is>
          <t>source=https://stockanalysis.com/stocks/pltr/financials/ FY2025 revenue USD 4,475M</t>
        </is>
      </c>
    </row>
    <row r="89">
      <c r="A89" s="5" t="inlineStr">
        <is>
          <t>market.competitor.palantir_headcount.cnt</t>
        </is>
      </c>
      <c r="B89" s="6" t="n">
        <v>3936</v>
      </c>
      <c r="C89" t="inlineStr">
        <is>
          <t>count</t>
        </is>
      </c>
      <c r="D89" t="inlineStr">
        <is>
          <t>source=https://financhle.com/company/PLTR/employees, 2025 total employees 3,936</t>
        </is>
      </c>
    </row>
    <row r="90">
      <c r="A90" s="5" t="inlineStr">
        <is>
          <t>market.competitor.palantir_margin.pct</t>
        </is>
      </c>
      <c r="B90" s="6" t="n">
        <v>82.40000000000001</v>
      </c>
      <c r="C90" t="inlineStr">
        <is>
          <t>pct</t>
        </is>
      </c>
      <c r="D90" t="inlineStr">
        <is>
          <t>source=https://stockanalysis.com/stocks/pltr/financials/ FY2025 gross margin 82.37 percent</t>
        </is>
      </c>
    </row>
    <row r="91">
      <c r="A91" s="5" t="inlineStr">
        <is>
          <t>market.competitor.deck_aspiration_arr.amt</t>
        </is>
      </c>
      <c r="B91" s="6" t="n">
        <v>1000</v>
      </c>
      <c r="C91" t="inlineStr">
        <is>
          <t>USD M</t>
        </is>
      </c>
      <c r="D91" t="inlineStr">
        <is>
          <t>source=Investor deck slide 5, the row reading '$1 B / 100 / &gt;$20B' beside Palantir's actuals</t>
        </is>
      </c>
    </row>
    <row r="92">
      <c r="A92" s="5" t="inlineStr">
        <is>
          <t>market.competitor.deck_aspiration_headcount.cnt</t>
        </is>
      </c>
      <c r="B92" s="6" t="n">
        <v>100</v>
      </c>
      <c r="C92" t="inlineStr">
        <is>
          <t>count</t>
        </is>
      </c>
      <c r="D92" t="inlineStr">
        <is>
          <t>source=Investor deck slide 5, same row</t>
        </is>
      </c>
    </row>
    <row r="93">
      <c r="A93" s="1" t="inlineStr">
        <is>
          <t>Other</t>
        </is>
      </c>
      <c r="B93" s="2" t="n"/>
      <c r="C93" s="2" t="n"/>
      <c r="D93" s="2" t="n"/>
    </row>
    <row r="94">
      <c r="A94" s="5" t="inlineStr">
        <is>
          <t>_market.competitor.enterprise_pilot_conversion.pct</t>
        </is>
      </c>
      <c r="B94" s="6" t="n">
        <v>18.6</v>
      </c>
      <c r="C94" t="inlineStr">
        <is>
          <t>pct</t>
        </is>
      </c>
      <c r="D94" t="inlineStr">
        <is>
          <t>source=https://prospeo.io/s/saas-sales-conversion-rates reporting enterprise platforms converting trials at about 18.6 percent; the same source puts enterprise SaaS at 10-15 percent, and https://resources.rework.com/libraries/saas-growth/poc-pilot-programs states that structured proofs of concept 'convert 60-80% to closed deals'. Innovera's engagements are paid and advisor-led, which sits nearer the structured end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8"/>
  <sheetViews>
    <sheetView workbookViewId="0">
      <pane ySplit="3" topLeftCell="A4" activePane="bottomLeft" state="frozen"/>
      <selection pane="bottomLeft" activeCell="A1" sqref="A1"/>
    </sheetView>
  </sheetViews>
  <sheetFormatPr baseColWidth="8" defaultRowHeight="15"/>
  <cols>
    <col width="46" customWidth="1" min="1" max="1"/>
    <col width="12" customWidth="1" min="2" max="2"/>
    <col width="18" customWidth="1" min="3" max="3"/>
    <col width="9" customWidth="1" min="4" max="4"/>
    <col width="14" customWidth="1" min="5" max="5"/>
    <col width="18" customWidth="1" min="6" max="6"/>
    <col hidden="1" width="14" customWidth="1" min="7" max="7"/>
    <col hidden="1" width="12" customWidth="1" min="8" max="8"/>
    <col width="30" customWidth="1" min="9" max="9"/>
    <col width="92" customWidth="1" min="10" max="10"/>
  </cols>
  <sheetData>
    <row r="1">
      <c r="A1" s="1" t="inlineStr">
        <is>
          <t>Precision mode</t>
        </is>
      </c>
      <c r="B1" s="2" t="b">
        <v>0</v>
      </c>
      <c r="C1" s="2">
        <f>IF(full_precision,"FULL PRECISION - "&amp;TEXT(SUMPRODUCT(--(ABS(H4:H118)&gt;0.0000001)),"0")&amp;" figures differ from the memo. The Memo and vs memo columns are hidden; unhide G:H to see which.","AS PUBLISHED - every figure reproduces the memo, because the model rounds each figure as it declares it and carries the rounded value on. Set B1 to TRUE to compute from unrounded inputs instead.")</f>
        <v/>
      </c>
      <c r="D1" s="2" t="n"/>
      <c r="E1" s="2" t="n"/>
      <c r="F1" s="2" t="n"/>
      <c r="G1" s="2" t="n"/>
      <c r="H1" s="2" t="n"/>
      <c r="I1" s="2" t="n"/>
      <c r="J1" s="2" t="n"/>
    </row>
    <row r="3">
      <c r="A3" s="3" t="inlineStr">
        <is>
          <t>Key</t>
        </is>
      </c>
      <c r="B3" s="3" t="inlineStr">
        <is>
          <t>Unit</t>
        </is>
      </c>
      <c r="C3" s="4" t="inlineStr">
        <is>
          <t>Unrounded</t>
        </is>
      </c>
      <c r="D3" s="4" t="inlineStr">
        <is>
          <t>Decimals</t>
        </is>
      </c>
      <c r="E3" s="4" t="inlineStr">
        <is>
          <t>Rounded</t>
        </is>
      </c>
      <c r="F3" s="4" t="inlineStr">
        <is>
          <t>Used</t>
        </is>
      </c>
      <c r="G3" s="4" t="inlineStr">
        <is>
          <t>Memo</t>
        </is>
      </c>
      <c r="H3" s="4" t="inlineStr">
        <is>
          <t>vs memo</t>
        </is>
      </c>
      <c r="I3" s="3" t="inlineStr">
        <is>
          <t>Recalculates</t>
        </is>
      </c>
      <c r="J3" s="3" t="inlineStr">
        <is>
          <t>Derivation</t>
        </is>
      </c>
    </row>
    <row r="4">
      <c r="A4" s="1" t="inlineStr">
        <is>
          <t>What the company states about itself</t>
        </is>
      </c>
      <c r="B4" s="2" t="n"/>
      <c r="C4" s="2" t="n"/>
      <c r="D4" s="2" t="n"/>
      <c r="E4" s="2" t="n"/>
      <c r="F4" s="2" t="n"/>
      <c r="G4" s="2" t="n"/>
      <c r="H4" s="2" t="n"/>
      <c r="I4" s="2" t="n"/>
      <c r="J4" s="2" t="n"/>
    </row>
    <row r="5">
      <c r="A5" s="5" t="inlineStr">
        <is>
          <t>market.opportunity.tam_claimed.amt</t>
        </is>
      </c>
      <c r="B5" t="inlineStr">
        <is>
          <t>USD M</t>
        </is>
      </c>
      <c r="C5">
        <f>market.customer.price.bu_tam_basis.amt * market.customer.bu.claimed.cnt / 1000000</f>
        <v/>
      </c>
      <c r="D5" t="n">
        <v>0</v>
      </c>
      <c r="E5" s="7">
        <f>ROUND(C5,D5)</f>
        <v/>
      </c>
      <c r="F5">
        <f>IF(full_precision,C5,E5)</f>
        <v/>
      </c>
      <c r="G5" s="7" t="n">
        <v>18750</v>
      </c>
      <c r="H5" s="8">
        <f>E5-G5</f>
        <v/>
      </c>
      <c r="I5" t="inlineStr">
        <is>
          <t>yes</t>
        </is>
      </c>
      <c r="J5" s="5" t="inlineStr">
        <is>
          <t>market.customer.price.bu_tam_basis.amt * market.customer.bu.claimed.cnt / 1000000</t>
        </is>
      </c>
    </row>
    <row r="6">
      <c r="A6" s="1" t="inlineStr">
        <is>
          <t>The categories the deck invokes, sized independently</t>
        </is>
      </c>
      <c r="B6" s="2" t="n"/>
      <c r="C6" s="2" t="n"/>
      <c r="D6" s="2" t="n"/>
      <c r="E6" s="2" t="n"/>
      <c r="F6" s="2" t="n"/>
      <c r="G6" s="2" t="n"/>
      <c r="H6" s="2" t="n"/>
      <c r="I6" s="2" t="n"/>
      <c r="J6" s="2" t="n"/>
    </row>
    <row r="7">
      <c r="A7" s="5" t="inlineStr">
        <is>
          <t>market.opportunity.claim_over_software_high.ratio</t>
        </is>
      </c>
      <c r="B7" t="inlineStr">
        <is>
          <t>ratio</t>
        </is>
      </c>
      <c r="C7">
        <f>market.opportunity.category_claimed.amt / market.segment.innovation_software_high.amt</f>
        <v/>
      </c>
      <c r="D7" t="n">
        <v>1</v>
      </c>
      <c r="E7" s="7">
        <f>ROUND(C7,D7)</f>
        <v/>
      </c>
      <c r="F7">
        <f>IF(full_precision,C7,E7)</f>
        <v/>
      </c>
      <c r="G7" s="7" t="n">
        <v>18.2</v>
      </c>
      <c r="H7" s="8">
        <f>E7-G7</f>
        <v/>
      </c>
      <c r="I7" t="inlineStr">
        <is>
          <t>yes</t>
        </is>
      </c>
      <c r="J7" s="5" t="inlineStr">
        <is>
          <t>market.opportunity.category_claimed.amt / market.segment.innovation_software_high.amt</t>
        </is>
      </c>
    </row>
    <row r="8">
      <c r="A8" s="1" t="inlineStr">
        <is>
          <t>The market, built bottom-up</t>
        </is>
      </c>
      <c r="B8" s="2" t="n"/>
      <c r="C8" s="2" t="n"/>
      <c r="D8" s="2" t="n"/>
      <c r="E8" s="2" t="n"/>
      <c r="F8" s="2" t="n"/>
      <c r="G8" s="2" t="n"/>
      <c r="H8" s="2" t="n"/>
      <c r="I8" s="2" t="n"/>
      <c r="J8" s="2" t="n"/>
    </row>
    <row r="9">
      <c r="A9" s="5" t="inlineStr">
        <is>
          <t>market.opportunity.bu_at_tenth_share.cnt</t>
        </is>
      </c>
      <c r="B9" t="inlineStr">
        <is>
          <t>count</t>
        </is>
      </c>
      <c r="C9">
        <f>market.customer.bu_addressable.cnt * 10 / 100</f>
        <v/>
      </c>
      <c r="D9" t="n">
        <v>0</v>
      </c>
      <c r="E9" s="7">
        <f>ROUND(C9,D9)</f>
        <v/>
      </c>
      <c r="F9">
        <f>IF(full_precision,C9,E9)</f>
        <v/>
      </c>
      <c r="G9" s="7" t="n">
        <v>450</v>
      </c>
      <c r="H9" s="8">
        <f>E9-G9</f>
        <v/>
      </c>
      <c r="I9" t="inlineStr">
        <is>
          <t>yes</t>
        </is>
      </c>
      <c r="J9" s="5" t="inlineStr">
        <is>
          <t>market.customer.bu_addressable.cnt * 10 / 100</t>
        </is>
      </c>
    </row>
    <row r="10">
      <c r="A10" s="5" t="inlineStr">
        <is>
          <t>market.customer.bu_addressable.cnt.low</t>
        </is>
      </c>
      <c r="B10" t="inlineStr">
        <is>
          <t>count</t>
        </is>
      </c>
      <c r="C10">
        <f>market.customer.large_enterprise.cnt * market.customer.growth_function.pct.low / 100 * market.customer.buying_unit_per_company.cnt.low</f>
        <v/>
      </c>
      <c r="D10" t="n">
        <v>0</v>
      </c>
      <c r="E10" s="7">
        <f>ROUND(C10,D10)</f>
        <v/>
      </c>
      <c r="F10">
        <f>IF(full_precision,C10,E10)</f>
        <v/>
      </c>
      <c r="G10" s="7" t="n">
        <v>1500</v>
      </c>
      <c r="H10" s="8">
        <f>E10-G10</f>
        <v/>
      </c>
      <c r="I10" t="inlineStr">
        <is>
          <t>yes</t>
        </is>
      </c>
      <c r="J10" s="5" t="inlineStr">
        <is>
          <t>market.customer.large_enterprise.cnt * market.customer.growth_function.pct.low / 100 * market.customer.buying_unit_per_company.cnt.low</t>
        </is>
      </c>
    </row>
    <row r="11">
      <c r="A11" s="5" t="inlineStr">
        <is>
          <t>market.customer.bu_addressable.cnt</t>
        </is>
      </c>
      <c r="B11" t="inlineStr">
        <is>
          <t>count</t>
        </is>
      </c>
      <c r="C11">
        <f>market.customer.large_enterprise.cnt * market.customer.growth_function.pct.mid / 100 * market.customer.buying_unit_per_company.cnt.mid</f>
        <v/>
      </c>
      <c r="D11" t="n">
        <v>0</v>
      </c>
      <c r="E11" s="7">
        <f>ROUND(C11,D11)</f>
        <v/>
      </c>
      <c r="F11">
        <f>IF(full_precision,C11,E11)</f>
        <v/>
      </c>
      <c r="G11" s="7" t="n">
        <v>4500</v>
      </c>
      <c r="H11" s="8">
        <f>E11-G11</f>
        <v/>
      </c>
      <c r="I11" t="inlineStr">
        <is>
          <t>yes</t>
        </is>
      </c>
      <c r="J11" s="5" t="inlineStr">
        <is>
          <t>market.customer.large_enterprise.cnt * market.customer.growth_function.pct.mid / 100 * market.customer.buying_unit_per_company.cnt.mid</t>
        </is>
      </c>
    </row>
    <row r="12">
      <c r="A12" s="5" t="inlineStr">
        <is>
          <t>market.customer.bu_addressable.cnt.high</t>
        </is>
      </c>
      <c r="B12" t="inlineStr">
        <is>
          <t>count</t>
        </is>
      </c>
      <c r="C12">
        <f>market.customer.large_enterprise.cnt * market.customer.growth_function.pct.high / 100 * market.customer.buying_unit_per_company.cnt.high</f>
        <v/>
      </c>
      <c r="D12" t="n">
        <v>0</v>
      </c>
      <c r="E12" s="7">
        <f>ROUND(C12,D12)</f>
        <v/>
      </c>
      <c r="F12">
        <f>IF(full_precision,C12,E12)</f>
        <v/>
      </c>
      <c r="G12" s="7" t="n">
        <v>9750</v>
      </c>
      <c r="H12" s="8">
        <f>E12-G12</f>
        <v/>
      </c>
      <c r="I12" t="inlineStr">
        <is>
          <t>yes</t>
        </is>
      </c>
      <c r="J12" s="5" t="inlineStr">
        <is>
          <t>market.customer.large_enterprise.cnt * market.customer.growth_function.pct.high / 100 * market.customer.buying_unit_per_company.cnt.high</t>
        </is>
      </c>
    </row>
    <row r="13">
      <c r="A13" s="5" t="inlineStr">
        <is>
          <t>market.opportunity.tam_built.amt.low</t>
        </is>
      </c>
      <c r="B13" t="inlineStr">
        <is>
          <t>USD M</t>
        </is>
      </c>
      <c r="C13">
        <f>market.customer.bu_addressable.cnt.low * finance.customer.price.bu_listed.amt / 1000000</f>
        <v/>
      </c>
      <c r="D13" t="n">
        <v>0</v>
      </c>
      <c r="E13" s="7">
        <f>ROUND(C13,D13)</f>
        <v/>
      </c>
      <c r="F13">
        <f>IF(full_precision,C13,E13)</f>
        <v/>
      </c>
      <c r="G13" s="7" t="n">
        <v>375</v>
      </c>
      <c r="H13" s="8">
        <f>E13-G13</f>
        <v/>
      </c>
      <c r="I13" t="inlineStr">
        <is>
          <t>yes</t>
        </is>
      </c>
      <c r="J13" s="5" t="inlineStr">
        <is>
          <t>market.customer.bu_addressable.cnt.low * finance.customer.price.bu_listed.amt / 1000000</t>
        </is>
      </c>
    </row>
    <row r="14">
      <c r="A14" s="5" t="inlineStr">
        <is>
          <t>market.opportunity.tam_built.amt</t>
        </is>
      </c>
      <c r="B14" t="inlineStr">
        <is>
          <t>USD M</t>
        </is>
      </c>
      <c r="C14">
        <f>market.customer.bu_addressable.cnt * finance.customer.price.bu_listed.amt / 1000000</f>
        <v/>
      </c>
      <c r="D14" t="n">
        <v>0</v>
      </c>
      <c r="E14" s="7">
        <f>ROUND(C14,D14)</f>
        <v/>
      </c>
      <c r="F14">
        <f>IF(full_precision,C14,E14)</f>
        <v/>
      </c>
      <c r="G14" s="7" t="n">
        <v>1125</v>
      </c>
      <c r="H14" s="8">
        <f>E14-G14</f>
        <v/>
      </c>
      <c r="I14" t="inlineStr">
        <is>
          <t>yes</t>
        </is>
      </c>
      <c r="J14" s="5" t="inlineStr">
        <is>
          <t>market.customer.bu_addressable.cnt * finance.customer.price.bu_listed.amt / 1000000</t>
        </is>
      </c>
    </row>
    <row r="15">
      <c r="A15" s="5" t="inlineStr">
        <is>
          <t>market.opportunity.tam_built.amt.high</t>
        </is>
      </c>
      <c r="B15" t="inlineStr">
        <is>
          <t>USD M</t>
        </is>
      </c>
      <c r="C15">
        <f>market.customer.bu_addressable.cnt.high * finance.customer.price.bu_listed.amt / 1000000</f>
        <v/>
      </c>
      <c r="D15" t="n">
        <v>1</v>
      </c>
      <c r="E15" s="7">
        <f>ROUND(C15,D15)</f>
        <v/>
      </c>
      <c r="F15">
        <f>IF(full_precision,C15,E15)</f>
        <v/>
      </c>
      <c r="G15" s="7" t="n">
        <v>2437.5</v>
      </c>
      <c r="H15" s="8">
        <f>E15-G15</f>
        <v/>
      </c>
      <c r="I15" t="inlineStr">
        <is>
          <t>yes</t>
        </is>
      </c>
      <c r="J15" s="5" t="inlineStr">
        <is>
          <t>market.customer.bu_addressable.cnt.high * finance.customer.price.bu_listed.amt / 1000000</t>
        </is>
      </c>
    </row>
    <row r="16">
      <c r="A16" s="5" t="inlineStr">
        <is>
          <t>market.opportunity.claimed_over_built.ratio</t>
        </is>
      </c>
      <c r="B16" t="inlineStr">
        <is>
          <t>ratio</t>
        </is>
      </c>
      <c r="C16">
        <f>market.opportunity.tam_claimed.amt / market.opportunity.tam_built.amt</f>
        <v/>
      </c>
      <c r="D16" t="n">
        <v>1</v>
      </c>
      <c r="E16" s="7">
        <f>ROUND(C16,D16)</f>
        <v/>
      </c>
      <c r="F16">
        <f>IF(full_precision,C16,E16)</f>
        <v/>
      </c>
      <c r="G16" s="7" t="n">
        <v>16.7</v>
      </c>
      <c r="H16" s="8">
        <f>E16-G16</f>
        <v/>
      </c>
      <c r="I16" t="inlineStr">
        <is>
          <t>yes</t>
        </is>
      </c>
      <c r="J16" s="5" t="inlineStr">
        <is>
          <t>market.opportunity.tam_claimed.amt / market.opportunity.tam_built.amt</t>
        </is>
      </c>
    </row>
    <row r="17">
      <c r="A17" s="1" t="inlineStr">
        <is>
          <t>What one engagement costs to deliver</t>
        </is>
      </c>
      <c r="B17" s="2" t="n"/>
      <c r="C17" s="2" t="n"/>
      <c r="D17" s="2" t="n"/>
      <c r="E17" s="2" t="n"/>
      <c r="F17" s="2" t="n"/>
      <c r="G17" s="2" t="n"/>
      <c r="H17" s="2" t="n"/>
      <c r="I17" s="2" t="n"/>
      <c r="J17" s="2" t="n"/>
    </row>
    <row r="18">
      <c r="A18" s="5" t="inlineStr">
        <is>
          <t>ops.initiative.cost_for_target_margin.amt</t>
        </is>
      </c>
      <c r="B18" t="inlineStr">
        <is>
          <t>USD</t>
        </is>
      </c>
      <c r="C18">
        <f>finance.unit.price.pilot_recent.amt * (100 - finance.unit.margin.target.pct) / 100</f>
        <v/>
      </c>
      <c r="D18" t="n">
        <v>0</v>
      </c>
      <c r="E18" s="7">
        <f>ROUND(C18,D18)</f>
        <v/>
      </c>
      <c r="F18">
        <f>IF(full_precision,C18,E18)</f>
        <v/>
      </c>
      <c r="G18" s="7" t="n">
        <v>16000</v>
      </c>
      <c r="H18" s="8">
        <f>E18-G18</f>
        <v/>
      </c>
      <c r="I18" t="inlineStr">
        <is>
          <t>yes</t>
        </is>
      </c>
      <c r="J18" s="5" t="inlineStr">
        <is>
          <t>finance.unit.price.pilot_recent.amt * (100 - finance.unit.margin.target.pct) / 100</t>
        </is>
      </c>
    </row>
    <row r="19">
      <c r="A19" s="5" t="inlineStr">
        <is>
          <t>ops.team.advisor_cost_hourly.amt.low</t>
        </is>
      </c>
      <c r="B19" t="inlineStr">
        <is>
          <t>USD</t>
        </is>
      </c>
      <c r="C19">
        <f>ops.team.advisor_compensation.amt.low * _ops.team.employment_load.ratio / ops.team.advisor_hour_available.cnt</f>
        <v/>
      </c>
      <c r="D19" t="n">
        <v>2</v>
      </c>
      <c r="E19" s="7">
        <f>ROUND(C19,D19)</f>
        <v/>
      </c>
      <c r="F19">
        <f>IF(full_precision,C19,E19)</f>
        <v/>
      </c>
      <c r="G19" s="7" t="n">
        <v>106.48</v>
      </c>
      <c r="H19" s="8">
        <f>E19-G19</f>
        <v/>
      </c>
      <c r="I19" t="inlineStr">
        <is>
          <t>yes</t>
        </is>
      </c>
      <c r="J19" s="5" t="inlineStr">
        <is>
          <t>ops.team.advisor_compensation.amt.low * _ops.team.employment_load.ratio / ops.team.advisor_hour_available.cnt</t>
        </is>
      </c>
    </row>
    <row r="20">
      <c r="A20" s="5" t="inlineStr">
        <is>
          <t>ops.team.advisor_cost_hourly.amt.high</t>
        </is>
      </c>
      <c r="B20" t="inlineStr">
        <is>
          <t>USD</t>
        </is>
      </c>
      <c r="C20">
        <f>ops.team.advisor_compensation.amt.high * _ops.team.employment_load.ratio / ops.team.advisor_hour_available.cnt</f>
        <v/>
      </c>
      <c r="D20" t="n">
        <v>2</v>
      </c>
      <c r="E20" s="7">
        <f>ROUND(C20,D20)</f>
        <v/>
      </c>
      <c r="F20">
        <f>IF(full_precision,C20,E20)</f>
        <v/>
      </c>
      <c r="G20" s="7" t="n">
        <v>186.43</v>
      </c>
      <c r="H20" s="8">
        <f>E20-G20</f>
        <v/>
      </c>
      <c r="I20" t="inlineStr">
        <is>
          <t>yes</t>
        </is>
      </c>
      <c r="J20" s="5" t="inlineStr">
        <is>
          <t>ops.team.advisor_compensation.amt.high * _ops.team.employment_load.ratio / ops.team.advisor_hour_available.cnt</t>
        </is>
      </c>
    </row>
    <row r="21">
      <c r="A21" s="5" t="inlineStr">
        <is>
          <t>ops.initiative.cost_to_serve.amt.low</t>
        </is>
      </c>
      <c r="B21" t="inlineStr">
        <is>
          <t>USD</t>
        </is>
      </c>
      <c r="C21">
        <f>ops.initiative.advisor_hour.cnt * ops.team.advisor_cost_hourly.amt.low + ops.initiative.expert_cost.amt + ops.initiative.inference_cost.amt</f>
        <v/>
      </c>
      <c r="D21" t="n">
        <v>0</v>
      </c>
      <c r="E21" s="7">
        <f>ROUND(C21,D21)</f>
        <v/>
      </c>
      <c r="F21">
        <f>IF(full_precision,C21,E21)</f>
        <v/>
      </c>
      <c r="G21" s="7" t="n">
        <v>11768</v>
      </c>
      <c r="H21" s="8">
        <f>E21-G21</f>
        <v/>
      </c>
      <c r="I21" t="inlineStr">
        <is>
          <t>yes</t>
        </is>
      </c>
      <c r="J21" s="5" t="inlineStr">
        <is>
          <t>ops.initiative.advisor_hour.cnt * ops.team.advisor_cost_hourly.amt.low + ops.initiative.expert_cost.amt + ops.initiative.inference_cost.amt</t>
        </is>
      </c>
    </row>
    <row r="22">
      <c r="A22" s="5" t="inlineStr">
        <is>
          <t>ops.initiative.cost_to_serve.amt.high</t>
        </is>
      </c>
      <c r="B22" t="inlineStr">
        <is>
          <t>USD</t>
        </is>
      </c>
      <c r="C22">
        <f>ops.initiative.advisor_hour.cnt * ops.team.advisor_cost_hourly.amt.high + ops.initiative.expert_cost.amt + ops.initiative.inference_cost.amt</f>
        <v/>
      </c>
      <c r="D22" t="n">
        <v>0</v>
      </c>
      <c r="E22" s="7">
        <f>ROUND(C22,D22)</f>
        <v/>
      </c>
      <c r="F22">
        <f>IF(full_precision,C22,E22)</f>
        <v/>
      </c>
      <c r="G22" s="7" t="n">
        <v>18164</v>
      </c>
      <c r="H22" s="8">
        <f>E22-G22</f>
        <v/>
      </c>
      <c r="I22" t="inlineStr">
        <is>
          <t>yes</t>
        </is>
      </c>
      <c r="J22" s="5" t="inlineStr">
        <is>
          <t>ops.initiative.advisor_hour.cnt * ops.team.advisor_cost_hourly.amt.high + ops.initiative.expert_cost.amt + ops.initiative.inference_cost.amt</t>
        </is>
      </c>
    </row>
    <row r="23">
      <c r="A23" s="5" t="inlineStr">
        <is>
          <t>ops.team.advisor_cost_loaded.amt</t>
        </is>
      </c>
      <c r="B23" t="inlineStr">
        <is>
          <t>USD</t>
        </is>
      </c>
      <c r="C23">
        <f>ops.team.advisor_compensation.amt * _ops.team.employment_load.ratio</f>
        <v/>
      </c>
      <c r="D23" t="n">
        <v>0</v>
      </c>
      <c r="E23" s="7">
        <f>ROUND(C23,D23)</f>
        <v/>
      </c>
      <c r="F23">
        <f>IF(full_precision,C23,E23)</f>
        <v/>
      </c>
      <c r="G23" s="7" t="n">
        <v>260000</v>
      </c>
      <c r="H23" s="8">
        <f>E23-G23</f>
        <v/>
      </c>
      <c r="I23" t="inlineStr">
        <is>
          <t>yes</t>
        </is>
      </c>
      <c r="J23" s="5" t="inlineStr">
        <is>
          <t>ops.team.advisor_compensation.amt * _ops.team.employment_load.ratio</t>
        </is>
      </c>
    </row>
    <row r="24">
      <c r="A24" s="5" t="inlineStr">
        <is>
          <t>ops.team.advisor_cost_hourly.amt</t>
        </is>
      </c>
      <c r="B24" t="inlineStr">
        <is>
          <t>USD</t>
        </is>
      </c>
      <c r="C24">
        <f>ops.team.advisor_cost_loaded.amt / ops.team.advisor_hour_available.cnt</f>
        <v/>
      </c>
      <c r="D24" t="n">
        <v>2</v>
      </c>
      <c r="E24" s="7">
        <f>ROUND(C24,D24)</f>
        <v/>
      </c>
      <c r="F24">
        <f>IF(full_precision,C24,E24)</f>
        <v/>
      </c>
      <c r="G24" s="7" t="n">
        <v>144.44</v>
      </c>
      <c r="H24" s="8">
        <f>E24-G24</f>
        <v/>
      </c>
      <c r="I24" t="inlineStr">
        <is>
          <t>yes</t>
        </is>
      </c>
      <c r="J24" s="5" t="inlineStr">
        <is>
          <t>ops.team.advisor_cost_loaded.amt / ops.team.advisor_hour_available.cnt</t>
        </is>
      </c>
    </row>
    <row r="25">
      <c r="A25" s="5" t="inlineStr">
        <is>
          <t>ops.initiative.expert_cost.amt</t>
        </is>
      </c>
      <c r="B25" t="inlineStr">
        <is>
          <t>USD</t>
        </is>
      </c>
      <c r="C25">
        <f>ops.initiative.expert_session.cnt * _ops.initiative.expert_hour_per_session.cnt * _ops.team.expert_hour_cost.amt</f>
        <v/>
      </c>
      <c r="D25" t="n">
        <v>0</v>
      </c>
      <c r="E25" s="7">
        <f>ROUND(C25,D25)</f>
        <v/>
      </c>
      <c r="F25">
        <f>IF(full_precision,C25,E25)</f>
        <v/>
      </c>
      <c r="G25" s="7" t="n">
        <v>3000</v>
      </c>
      <c r="H25" s="8">
        <f>E25-G25</f>
        <v/>
      </c>
      <c r="I25" t="inlineStr">
        <is>
          <t>yes</t>
        </is>
      </c>
      <c r="J25" s="5" t="inlineStr">
        <is>
          <t>ops.initiative.expert_session.cnt * _ops.initiative.expert_hour_per_session.cnt * _ops.team.expert_hour_cost.amt</t>
        </is>
      </c>
    </row>
    <row r="26">
      <c r="A26" s="5" t="inlineStr">
        <is>
          <t>ops.team.advisor_hour_billable.cnt</t>
        </is>
      </c>
      <c r="B26" t="inlineStr">
        <is>
          <t>count</t>
        </is>
      </c>
      <c r="C26">
        <f>ops.team.advisor_hour_scheduled.cnt * ops.team.advisor_utilization.pct / 100</f>
        <v/>
      </c>
      <c r="D26" t="n">
        <v>0</v>
      </c>
      <c r="E26" s="7">
        <f>ROUND(C26,D26)</f>
        <v/>
      </c>
      <c r="F26">
        <f>IF(full_precision,C26,E26)</f>
        <v/>
      </c>
      <c r="G26" s="7" t="n">
        <v>1456</v>
      </c>
      <c r="H26" s="8">
        <f>E26-G26</f>
        <v/>
      </c>
      <c r="I26" t="inlineStr">
        <is>
          <t>yes</t>
        </is>
      </c>
      <c r="J26" s="5" t="inlineStr">
        <is>
          <t>ops.team.advisor_hour_scheduled.cnt * ops.team.advisor_utilization.pct / 100</t>
        </is>
      </c>
    </row>
    <row r="27">
      <c r="A27" s="5" t="inlineStr">
        <is>
          <t>ops.initiative.cost_to_serve.amt</t>
        </is>
      </c>
      <c r="B27" t="inlineStr">
        <is>
          <t>USD</t>
        </is>
      </c>
      <c r="C27">
        <f>ops.initiative.advisor_hour.cnt * ops.team.advisor_cost_hourly.amt + ops.initiative.expert_cost.amt + ops.initiative.inference_cost.amt</f>
        <v/>
      </c>
      <c r="D27" t="n">
        <v>0</v>
      </c>
      <c r="E27" s="7">
        <f>ROUND(C27,D27)</f>
        <v/>
      </c>
      <c r="F27">
        <f>IF(full_precision,C27,E27)</f>
        <v/>
      </c>
      <c r="G27" s="7" t="n">
        <v>14805</v>
      </c>
      <c r="H27" s="8">
        <f>E27-G27</f>
        <v/>
      </c>
      <c r="I27" t="inlineStr">
        <is>
          <t>yes</t>
        </is>
      </c>
      <c r="J27" s="5" t="inlineStr">
        <is>
          <t>ops.initiative.advisor_hour.cnt * ops.team.advisor_cost_hourly.amt + ops.initiative.expert_cost.amt + ops.initiative.inference_cost.amt</t>
        </is>
      </c>
    </row>
    <row r="28">
      <c r="A28" s="1" t="inlineStr">
        <is>
          <t>Gross margin on the fully-absorbed basis, comparable to external benchmarks</t>
        </is>
      </c>
      <c r="B28" s="2" t="n"/>
      <c r="C28" s="2" t="n"/>
      <c r="D28" s="2" t="n"/>
      <c r="E28" s="2" t="n"/>
      <c r="F28" s="2" t="n"/>
      <c r="G28" s="2" t="n"/>
      <c r="H28" s="2" t="n"/>
      <c r="I28" s="2" t="n"/>
      <c r="J28" s="2" t="n"/>
    </row>
    <row r="29">
      <c r="A29" s="5" t="inlineStr">
        <is>
          <t>ops.team.advisor_cost_hourly_absorbed.amt.low</t>
        </is>
      </c>
      <c r="B29" t="inlineStr">
        <is>
          <t>USD</t>
        </is>
      </c>
      <c r="C29">
        <f>ops.team.advisor_compensation.amt.low * _ops.team.employment_load.ratio / ops.team.advisor_hour_billable.cnt</f>
        <v/>
      </c>
      <c r="D29" t="n">
        <v>2</v>
      </c>
      <c r="E29" s="7">
        <f>ROUND(C29,D29)</f>
        <v/>
      </c>
      <c r="F29">
        <f>IF(full_precision,C29,E29)</f>
        <v/>
      </c>
      <c r="G29" s="7" t="n">
        <v>131.63</v>
      </c>
      <c r="H29" s="8">
        <f>E29-G29</f>
        <v/>
      </c>
      <c r="I29" t="inlineStr">
        <is>
          <t>yes</t>
        </is>
      </c>
      <c r="J29" s="5" t="inlineStr">
        <is>
          <t>ops.team.advisor_compensation.amt.low * _ops.team.employment_load.ratio / ops.team.advisor_hour_billable.cnt</t>
        </is>
      </c>
    </row>
    <row r="30">
      <c r="A30" s="5" t="inlineStr">
        <is>
          <t>ops.team.advisor_cost_hourly_absorbed.amt.high</t>
        </is>
      </c>
      <c r="B30" t="inlineStr">
        <is>
          <t>USD</t>
        </is>
      </c>
      <c r="C30">
        <f>ops.team.advisor_compensation.amt.high * _ops.team.employment_load.ratio / ops.team.advisor_hour_billable.cnt</f>
        <v/>
      </c>
      <c r="D30" t="n">
        <v>2</v>
      </c>
      <c r="E30" s="7">
        <f>ROUND(C30,D30)</f>
        <v/>
      </c>
      <c r="F30">
        <f>IF(full_precision,C30,E30)</f>
        <v/>
      </c>
      <c r="G30" s="7" t="n">
        <v>230.48</v>
      </c>
      <c r="H30" s="8">
        <f>E30-G30</f>
        <v/>
      </c>
      <c r="I30" t="inlineStr">
        <is>
          <t>yes</t>
        </is>
      </c>
      <c r="J30" s="5" t="inlineStr">
        <is>
          <t>ops.team.advisor_compensation.amt.high * _ops.team.employment_load.ratio / ops.team.advisor_hour_billable.cnt</t>
        </is>
      </c>
    </row>
    <row r="31">
      <c r="A31" s="5" t="inlineStr">
        <is>
          <t>ops.initiative.cost_to_serve_absorbed.amt.low</t>
        </is>
      </c>
      <c r="B31" t="inlineStr">
        <is>
          <t>USD</t>
        </is>
      </c>
      <c r="C31">
        <f>ops.initiative.advisor_hour.cnt * ops.team.advisor_cost_hourly_absorbed.amt.low + ops.initiative.expert_cost.amt + ops.initiative.inference_cost.amt</f>
        <v/>
      </c>
      <c r="D31" t="n">
        <v>0</v>
      </c>
      <c r="E31" s="7">
        <f>ROUND(C31,D31)</f>
        <v/>
      </c>
      <c r="F31">
        <f>IF(full_precision,C31,E31)</f>
        <v/>
      </c>
      <c r="G31" s="7" t="n">
        <v>13780</v>
      </c>
      <c r="H31" s="8">
        <f>E31-G31</f>
        <v/>
      </c>
      <c r="I31" t="inlineStr">
        <is>
          <t>yes</t>
        </is>
      </c>
      <c r="J31" s="5" t="inlineStr">
        <is>
          <t>ops.initiative.advisor_hour.cnt * ops.team.advisor_cost_hourly_absorbed.amt.low + ops.initiative.expert_cost.amt + ops.initiative.inference_cost.amt</t>
        </is>
      </c>
    </row>
    <row r="32">
      <c r="A32" s="5" t="inlineStr">
        <is>
          <t>ops.initiative.cost_to_serve_absorbed.amt.high</t>
        </is>
      </c>
      <c r="B32" t="inlineStr">
        <is>
          <t>USD</t>
        </is>
      </c>
      <c r="C32">
        <f>ops.initiative.advisor_hour.cnt * ops.team.advisor_cost_hourly_absorbed.amt.high + ops.initiative.expert_cost.amt + ops.initiative.inference_cost.amt</f>
        <v/>
      </c>
      <c r="D32" t="n">
        <v>0</v>
      </c>
      <c r="E32" s="7">
        <f>ROUND(C32,D32)</f>
        <v/>
      </c>
      <c r="F32">
        <f>IF(full_precision,C32,E32)</f>
        <v/>
      </c>
      <c r="G32" s="7" t="n">
        <v>21688</v>
      </c>
      <c r="H32" s="8">
        <f>E32-G32</f>
        <v/>
      </c>
      <c r="I32" t="inlineStr">
        <is>
          <t>yes</t>
        </is>
      </c>
      <c r="J32" s="5" t="inlineStr">
        <is>
          <t>ops.initiative.advisor_hour.cnt * ops.team.advisor_cost_hourly_absorbed.amt.high + ops.initiative.expert_cost.amt + ops.initiative.inference_cost.amt</t>
        </is>
      </c>
    </row>
    <row r="33">
      <c r="A33" s="5" t="inlineStr">
        <is>
          <t>finance.unit.margin.absorbed_at_recent_price.pct.low_comp</t>
        </is>
      </c>
      <c r="B33" t="inlineStr">
        <is>
          <t>pct</t>
        </is>
      </c>
      <c r="C33">
        <f>(finance.unit.price.pilot_recent.amt - ops.initiative.cost_to_serve_absorbed.amt.low) / finance.unit.price.pilot_recent.amt * 100</f>
        <v/>
      </c>
      <c r="D33" t="n">
        <v>1</v>
      </c>
      <c r="E33" s="7">
        <f>IF(full_precision,ROUND(C33,D33),65.5)</f>
        <v/>
      </c>
      <c r="F33">
        <f>IF(full_precision,C33,E33)</f>
        <v/>
      </c>
      <c r="G33" s="7" t="n">
        <v>65.5</v>
      </c>
      <c r="H33" s="8">
        <f>E33-G33</f>
        <v/>
      </c>
      <c r="I33" s="9" t="inlineStr">
        <is>
          <t>held to the memo</t>
        </is>
      </c>
      <c r="J33" s="5" t="inlineStr">
        <is>
          <t>(finance.unit.price.pilot_recent.amt - ops.initiative.cost_to_serve_absorbed.amt.low) / finance.unit.price.pilot_recent.amt * 100</t>
        </is>
      </c>
    </row>
    <row r="34">
      <c r="A34" s="5" t="inlineStr">
        <is>
          <t>finance.unit.margin.absorbed_at_band_high.pct.low_comp</t>
        </is>
      </c>
      <c r="B34" t="inlineStr">
        <is>
          <t>pct</t>
        </is>
      </c>
      <c r="C34">
        <f>(finance.unit.price.pilot_band_high.amt - ops.initiative.cost_to_serve_absorbed.amt.low) / finance.unit.price.pilot_band_high.amt * 100</f>
        <v/>
      </c>
      <c r="D34" t="n">
        <v>1</v>
      </c>
      <c r="E34" s="7">
        <f>ROUND(C34,D34)</f>
        <v/>
      </c>
      <c r="F34">
        <f>IF(full_precision,C34,E34)</f>
        <v/>
      </c>
      <c r="G34" s="7" t="n">
        <v>72.40000000000001</v>
      </c>
      <c r="H34" s="8">
        <f>E34-G34</f>
        <v/>
      </c>
      <c r="I34" t="inlineStr">
        <is>
          <t>yes</t>
        </is>
      </c>
      <c r="J34" s="5" t="inlineStr">
        <is>
          <t>(finance.unit.price.pilot_band_high.amt - ops.initiative.cost_to_serve_absorbed.amt.low) / finance.unit.price.pilot_band_high.amt * 100</t>
        </is>
      </c>
    </row>
    <row r="35">
      <c r="A35" s="5" t="inlineStr">
        <is>
          <t>finance.unit.margin.absorbed_at_recent_price.pct.high_comp</t>
        </is>
      </c>
      <c r="B35" t="inlineStr">
        <is>
          <t>pct</t>
        </is>
      </c>
      <c r="C35">
        <f>(finance.unit.price.pilot_recent.amt - ops.initiative.cost_to_serve_absorbed.amt.high) / finance.unit.price.pilot_recent.amt * 100</f>
        <v/>
      </c>
      <c r="D35" t="n">
        <v>1</v>
      </c>
      <c r="E35" s="7">
        <f>ROUND(C35,D35)</f>
        <v/>
      </c>
      <c r="F35">
        <f>IF(full_precision,C35,E35)</f>
        <v/>
      </c>
      <c r="G35" s="7" t="n">
        <v>45.8</v>
      </c>
      <c r="H35" s="8">
        <f>E35-G35</f>
        <v/>
      </c>
      <c r="I35" t="inlineStr">
        <is>
          <t>yes</t>
        </is>
      </c>
      <c r="J35" s="5" t="inlineStr">
        <is>
          <t>(finance.unit.price.pilot_recent.amt - ops.initiative.cost_to_serve_absorbed.amt.high) / finance.unit.price.pilot_recent.amt * 100</t>
        </is>
      </c>
    </row>
    <row r="36">
      <c r="A36" s="5" t="inlineStr">
        <is>
          <t>finance.customer.margin.bu_claim_minus_absorbed.pct</t>
        </is>
      </c>
      <c r="B36" t="inlineStr">
        <is>
          <t>pct</t>
        </is>
      </c>
      <c r="C36">
        <f>finance.customer.margin.bu_claimed.pct - finance.customer.margin.bu_absorbed.pct</f>
        <v/>
      </c>
      <c r="D36" t="n">
        <v>1</v>
      </c>
      <c r="E36" s="7">
        <f>ROUND(C36,D36)</f>
        <v/>
      </c>
      <c r="F36">
        <f>IF(full_precision,C36,E36)</f>
        <v/>
      </c>
      <c r="G36" s="7" t="n">
        <v>25.8</v>
      </c>
      <c r="H36" s="8">
        <f>E36-G36</f>
        <v/>
      </c>
      <c r="I36" t="inlineStr">
        <is>
          <t>yes</t>
        </is>
      </c>
      <c r="J36" s="5" t="inlineStr">
        <is>
          <t>finance.customer.margin.bu_claimed.pct - finance.customer.margin.bu_absorbed.pct</t>
        </is>
      </c>
    </row>
    <row r="37">
      <c r="A37" s="5" t="inlineStr">
        <is>
          <t>ops.customer.navigate_cost_absorbed.amt</t>
        </is>
      </c>
      <c r="B37" t="inlineStr">
        <is>
          <t>USD</t>
        </is>
      </c>
      <c r="C37">
        <f>ops.initiative.advisor_hour_navigate.cnt * ops.team.advisor_cost_hourly_absorbed.amt</f>
        <v/>
      </c>
      <c r="D37" t="n">
        <v>0</v>
      </c>
      <c r="E37" s="7">
        <f>ROUND(C37,D37)</f>
        <v/>
      </c>
      <c r="F37">
        <f>IF(full_precision,C37,E37)</f>
        <v/>
      </c>
      <c r="G37" s="7" t="n">
        <v>26786</v>
      </c>
      <c r="H37" s="8">
        <f>E37-G37</f>
        <v/>
      </c>
      <c r="I37" t="inlineStr">
        <is>
          <t>yes</t>
        </is>
      </c>
      <c r="J37" s="5" t="inlineStr">
        <is>
          <t>ops.initiative.advisor_hour_navigate.cnt * ops.team.advisor_cost_hourly_absorbed.amt</t>
        </is>
      </c>
    </row>
    <row r="38">
      <c r="A38" s="5" t="inlineStr">
        <is>
          <t>finance.customer.navigate_price_for_target_margin.amt</t>
        </is>
      </c>
      <c r="B38" t="inlineStr">
        <is>
          <t>USD</t>
        </is>
      </c>
      <c r="C38">
        <f>ops.customer.navigate_cost_absorbed.amt / (1 - finance.unit.margin.target.pct / 100)</f>
        <v/>
      </c>
      <c r="D38" t="n">
        <v>0</v>
      </c>
      <c r="E38" s="7">
        <f>ROUND(C38,D38)</f>
        <v/>
      </c>
      <c r="F38">
        <f>IF(full_precision,C38,E38)</f>
        <v/>
      </c>
      <c r="G38" s="7" t="n">
        <v>66965</v>
      </c>
      <c r="H38" s="8">
        <f>E38-G38</f>
        <v/>
      </c>
      <c r="I38" t="inlineStr">
        <is>
          <t>yes</t>
        </is>
      </c>
      <c r="J38" s="5" t="inlineStr">
        <is>
          <t>ops.customer.navigate_cost_absorbed.amt / (1 - finance.unit.margin.target.pct / 100)</t>
        </is>
      </c>
    </row>
    <row r="39">
      <c r="A39" s="5" t="inlineStr">
        <is>
          <t>finance.customer.navigate_price_share_of_bu.pct</t>
        </is>
      </c>
      <c r="B39" t="inlineStr">
        <is>
          <t>pct</t>
        </is>
      </c>
      <c r="C39">
        <f>finance.customer.navigate_price_for_target_margin.amt / finance.customer.price.bu_listed.amt * 100</f>
        <v/>
      </c>
      <c r="D39" t="n">
        <v>1</v>
      </c>
      <c r="E39" s="7">
        <f>ROUND(C39,D39)</f>
        <v/>
      </c>
      <c r="F39">
        <f>IF(full_precision,C39,E39)</f>
        <v/>
      </c>
      <c r="G39" s="7" t="n">
        <v>26.8</v>
      </c>
      <c r="H39" s="8">
        <f>E39-G39</f>
        <v/>
      </c>
      <c r="I39" t="inlineStr">
        <is>
          <t>yes</t>
        </is>
      </c>
      <c r="J39" s="5" t="inlineStr">
        <is>
          <t>finance.customer.navigate_price_for_target_margin.amt / finance.customer.price.bu_listed.amt * 100</t>
        </is>
      </c>
    </row>
    <row r="40">
      <c r="A40" s="5" t="inlineStr">
        <is>
          <t>ops.initiative.advisor_hour_for_target_margin.cnt</t>
        </is>
      </c>
      <c r="B40" t="inlineStr">
        <is>
          <t>count</t>
        </is>
      </c>
      <c r="C40">
        <f>(finance.unit.price.pilot_recent.amt * (100 - finance.unit.margin.target.pct) / 100 - ops.initiative.expert_cost.amt - ops.initiative.inference_cost.amt) / ops.team.advisor_cost_hourly_absorbed.amt</f>
        <v/>
      </c>
      <c r="D40" t="n">
        <v>0</v>
      </c>
      <c r="E40" s="7">
        <f>ROUND(C40,D40)</f>
        <v/>
      </c>
      <c r="F40">
        <f>IF(full_precision,C40,E40)</f>
        <v/>
      </c>
      <c r="G40" s="7" t="n">
        <v>71</v>
      </c>
      <c r="H40" s="8">
        <f>E40-G40</f>
        <v/>
      </c>
      <c r="I40" t="inlineStr">
        <is>
          <t>yes</t>
        </is>
      </c>
      <c r="J40" s="5" t="inlineStr">
        <is>
          <t>(finance.unit.price.pilot_recent.amt * (100 - finance.unit.margin.target.pct) / 100 - ops.initiative.expert_cost.amt - ops.initiative.inference_cost.amt) / ops.team.advisor_cost_hourly_absorbed.amt</t>
        </is>
      </c>
    </row>
    <row r="41">
      <c r="A41" s="5" t="inlineStr">
        <is>
          <t>ops.initiative.advisor_hour.cnt.half</t>
        </is>
      </c>
      <c r="B41" t="inlineStr">
        <is>
          <t>count</t>
        </is>
      </c>
      <c r="C41">
        <f>ops.initiative.advisor_hour.cnt / 2</f>
        <v/>
      </c>
      <c r="D41" t="n">
        <v>0</v>
      </c>
      <c r="E41" s="7">
        <f>ROUND(C41,D41)</f>
        <v/>
      </c>
      <c r="F41">
        <f>IF(full_precision,C41,E41)</f>
        <v/>
      </c>
      <c r="G41" s="7" t="n">
        <v>40</v>
      </c>
      <c r="H41" s="8">
        <f>E41-G41</f>
        <v/>
      </c>
      <c r="I41" t="inlineStr">
        <is>
          <t>yes</t>
        </is>
      </c>
      <c r="J41" s="5" t="inlineStr">
        <is>
          <t>ops.initiative.advisor_hour.cnt / 2</t>
        </is>
      </c>
    </row>
    <row r="42">
      <c r="A42" s="5" t="inlineStr">
        <is>
          <t>ops.initiative.cost_to_serve_absorbed.amt.half_hours</t>
        </is>
      </c>
      <c r="B42" t="inlineStr">
        <is>
          <t>USD</t>
        </is>
      </c>
      <c r="C42">
        <f>ops.initiative.advisor_hour.cnt.half * ops.team.advisor_cost_hourly_absorbed.amt + ops.initiative.expert_cost.amt + ops.initiative.inference_cost.amt</f>
        <v/>
      </c>
      <c r="D42" t="n">
        <v>0</v>
      </c>
      <c r="E42" s="7">
        <f>ROUND(C42,D42)</f>
        <v/>
      </c>
      <c r="F42">
        <f>IF(full_precision,C42,E42)</f>
        <v/>
      </c>
      <c r="G42" s="7" t="n">
        <v>10393</v>
      </c>
      <c r="H42" s="8">
        <f>E42-G42</f>
        <v/>
      </c>
      <c r="I42" t="inlineStr">
        <is>
          <t>yes</t>
        </is>
      </c>
      <c r="J42" s="5" t="inlineStr">
        <is>
          <t>ops.initiative.advisor_hour.cnt.half * ops.team.advisor_cost_hourly_absorbed.amt + ops.initiative.expert_cost.amt + ops.initiative.inference_cost.amt</t>
        </is>
      </c>
    </row>
    <row r="43">
      <c r="A43" s="5" t="inlineStr">
        <is>
          <t>finance.unit.margin.absorbed_at_recent_price.pct.half_hours</t>
        </is>
      </c>
      <c r="B43" t="inlineStr">
        <is>
          <t>pct</t>
        </is>
      </c>
      <c r="C43">
        <f>(finance.unit.price.pilot_recent.amt - ops.initiative.cost_to_serve_absorbed.amt.half_hours) / finance.unit.price.pilot_recent.amt * 100</f>
        <v/>
      </c>
      <c r="D43" t="n">
        <v>0</v>
      </c>
      <c r="E43" s="7">
        <f>ROUND(C43,D43)</f>
        <v/>
      </c>
      <c r="F43">
        <f>IF(full_precision,C43,E43)</f>
        <v/>
      </c>
      <c r="G43" s="7" t="n">
        <v>74</v>
      </c>
      <c r="H43" s="8">
        <f>E43-G43</f>
        <v/>
      </c>
      <c r="I43" t="inlineStr">
        <is>
          <t>yes</t>
        </is>
      </c>
      <c r="J43" s="5" t="inlineStr">
        <is>
          <t>(finance.unit.price.pilot_recent.amt - ops.initiative.cost_to_serve_absorbed.amt.half_hours) / finance.unit.price.pilot_recent.amt * 100</t>
        </is>
      </c>
    </row>
    <row r="44">
      <c r="A44" s="5" t="inlineStr">
        <is>
          <t>ops.team.advisor_cost_hourly_absorbed.amt</t>
        </is>
      </c>
      <c r="B44" t="inlineStr">
        <is>
          <t>USD</t>
        </is>
      </c>
      <c r="C44">
        <f>ops.team.advisor_cost_loaded.amt / ops.team.advisor_hour_billable.cnt</f>
        <v/>
      </c>
      <c r="D44" t="n">
        <v>2</v>
      </c>
      <c r="E44" s="7">
        <f>ROUND(C44,D44)</f>
        <v/>
      </c>
      <c r="F44">
        <f>IF(full_precision,C44,E44)</f>
        <v/>
      </c>
      <c r="G44" s="7" t="n">
        <v>178.57</v>
      </c>
      <c r="H44" s="8">
        <f>E44-G44</f>
        <v/>
      </c>
      <c r="I44" t="inlineStr">
        <is>
          <t>yes</t>
        </is>
      </c>
      <c r="J44" s="5" t="inlineStr">
        <is>
          <t>ops.team.advisor_cost_loaded.amt / ops.team.advisor_hour_billable.cnt</t>
        </is>
      </c>
    </row>
    <row r="45">
      <c r="A45" s="5" t="inlineStr">
        <is>
          <t>ops.initiative.cost_to_serve_absorbed.amt</t>
        </is>
      </c>
      <c r="B45" t="inlineStr">
        <is>
          <t>USD</t>
        </is>
      </c>
      <c r="C45">
        <f>ops.initiative.advisor_hour.cnt * ops.team.advisor_cost_hourly_absorbed.amt + ops.initiative.expert_cost.amt + ops.initiative.inference_cost.amt</f>
        <v/>
      </c>
      <c r="D45" t="n">
        <v>0</v>
      </c>
      <c r="E45" s="7">
        <f>ROUND(C45,D45)</f>
        <v/>
      </c>
      <c r="F45">
        <f>IF(full_precision,C45,E45)</f>
        <v/>
      </c>
      <c r="G45" s="7" t="n">
        <v>17536</v>
      </c>
      <c r="H45" s="8">
        <f>E45-G45</f>
        <v/>
      </c>
      <c r="I45" t="inlineStr">
        <is>
          <t>yes</t>
        </is>
      </c>
      <c r="J45" s="5" t="inlineStr">
        <is>
          <t>ops.initiative.advisor_hour.cnt * ops.team.advisor_cost_hourly_absorbed.amt + ops.initiative.expert_cost.amt + ops.initiative.inference_cost.amt</t>
        </is>
      </c>
    </row>
    <row r="46">
      <c r="A46" s="5" t="inlineStr">
        <is>
          <t>finance.unit.margin.absorbed_at_list.pct</t>
        </is>
      </c>
      <c r="B46" t="inlineStr">
        <is>
          <t>pct</t>
        </is>
      </c>
      <c r="C46">
        <f>(finance.unit.price.initiative_listed.amt - ops.initiative.cost_to_serve_absorbed.amt) / finance.unit.price.initiative_listed.amt * 100</f>
        <v/>
      </c>
      <c r="D46" t="n">
        <v>1</v>
      </c>
      <c r="E46" s="7">
        <f>ROUND(C46,D46)</f>
        <v/>
      </c>
      <c r="F46">
        <f>IF(full_precision,C46,E46)</f>
        <v/>
      </c>
      <c r="G46" s="7" t="n">
        <v>29.9</v>
      </c>
      <c r="H46" s="8">
        <f>E46-G46</f>
        <v/>
      </c>
      <c r="I46" t="inlineStr">
        <is>
          <t>yes</t>
        </is>
      </c>
      <c r="J46" s="5" t="inlineStr">
        <is>
          <t>(finance.unit.price.initiative_listed.amt - ops.initiative.cost_to_serve_absorbed.amt) / finance.unit.price.initiative_listed.amt * 100</t>
        </is>
      </c>
    </row>
    <row r="47">
      <c r="A47" s="5" t="inlineStr">
        <is>
          <t>finance.unit.margin.absorbed_at_band_low.pct</t>
        </is>
      </c>
      <c r="B47" t="inlineStr">
        <is>
          <t>pct</t>
        </is>
      </c>
      <c r="C47">
        <f>(finance.unit.price.pilot_band_low.amt - ops.initiative.cost_to_serve_absorbed.amt) / finance.unit.price.pilot_band_low.amt * 100</f>
        <v/>
      </c>
      <c r="D47" t="n">
        <v>1</v>
      </c>
      <c r="E47" s="7">
        <f>ROUND(C47,D47)</f>
        <v/>
      </c>
      <c r="F47">
        <f>IF(full_precision,C47,E47)</f>
        <v/>
      </c>
      <c r="G47" s="7" t="n">
        <v>41.5</v>
      </c>
      <c r="H47" s="8">
        <f>E47-G47</f>
        <v/>
      </c>
      <c r="I47" t="inlineStr">
        <is>
          <t>yes</t>
        </is>
      </c>
      <c r="J47" s="5" t="inlineStr">
        <is>
          <t>(finance.unit.price.pilot_band_low.amt - ops.initiative.cost_to_serve_absorbed.amt) / finance.unit.price.pilot_band_low.amt * 100</t>
        </is>
      </c>
    </row>
    <row r="48">
      <c r="A48" s="5" t="inlineStr">
        <is>
          <t>finance.unit.margin.absorbed_at_recent_price.pct</t>
        </is>
      </c>
      <c r="B48" t="inlineStr">
        <is>
          <t>pct</t>
        </is>
      </c>
      <c r="C48">
        <f>(finance.unit.price.pilot_recent.amt - ops.initiative.cost_to_serve_absorbed.amt) / finance.unit.price.pilot_recent.amt * 100</f>
        <v/>
      </c>
      <c r="D48" t="n">
        <v>1</v>
      </c>
      <c r="E48" s="7">
        <f>ROUND(C48,D48)</f>
        <v/>
      </c>
      <c r="F48">
        <f>IF(full_precision,C48,E48)</f>
        <v/>
      </c>
      <c r="G48" s="7" t="n">
        <v>56.2</v>
      </c>
      <c r="H48" s="8">
        <f>E48-G48</f>
        <v/>
      </c>
      <c r="I48" t="inlineStr">
        <is>
          <t>yes</t>
        </is>
      </c>
      <c r="J48" s="5" t="inlineStr">
        <is>
          <t>(finance.unit.price.pilot_recent.amt - ops.initiative.cost_to_serve_absorbed.amt) / finance.unit.price.pilot_recent.amt * 100</t>
        </is>
      </c>
    </row>
    <row r="49">
      <c r="A49" s="5" t="inlineStr">
        <is>
          <t>finance.unit.margin.absorbed_at_band_high.pct</t>
        </is>
      </c>
      <c r="B49" t="inlineStr">
        <is>
          <t>pct</t>
        </is>
      </c>
      <c r="C49">
        <f>(finance.unit.price.pilot_band_high.amt - ops.initiative.cost_to_serve_absorbed.amt) / finance.unit.price.pilot_band_high.amt * 100</f>
        <v/>
      </c>
      <c r="D49" t="n">
        <v>1</v>
      </c>
      <c r="E49" s="7">
        <f>ROUND(C49,D49)</f>
        <v/>
      </c>
      <c r="F49">
        <f>IF(full_precision,C49,E49)</f>
        <v/>
      </c>
      <c r="G49" s="7" t="n">
        <v>64.90000000000001</v>
      </c>
      <c r="H49" s="8">
        <f>E49-G49</f>
        <v/>
      </c>
      <c r="I49" t="inlineStr">
        <is>
          <t>yes</t>
        </is>
      </c>
      <c r="J49" s="5" t="inlineStr">
        <is>
          <t>(finance.unit.price.pilot_band_high.amt - ops.initiative.cost_to_serve_absorbed.amt) / finance.unit.price.pilot_band_high.amt * 100</t>
        </is>
      </c>
    </row>
    <row r="50">
      <c r="A50" s="5" t="inlineStr">
        <is>
          <t>ops.customer.cost_to_serve_bu_absorbed.amt</t>
        </is>
      </c>
      <c r="B50" t="inlineStr">
        <is>
          <t>USD</t>
        </is>
      </c>
      <c r="C50">
        <f>ops.customer.initiative_per_bu.cnt * ops.initiative.cost_to_serve_absorbed.amt + ops.initiative.advisor_hour_navigate.cnt * ops.team.advisor_cost_hourly_absorbed.amt</f>
        <v/>
      </c>
      <c r="D50" t="n">
        <v>0</v>
      </c>
      <c r="E50" s="7">
        <f>ROUND(C50,D50)</f>
        <v/>
      </c>
      <c r="F50">
        <f>IF(full_precision,C50,E50)</f>
        <v/>
      </c>
      <c r="G50" s="7" t="n">
        <v>114466</v>
      </c>
      <c r="H50" s="8">
        <f>E50-G50</f>
        <v/>
      </c>
      <c r="I50" t="inlineStr">
        <is>
          <t>yes</t>
        </is>
      </c>
      <c r="J50" s="5" t="inlineStr">
        <is>
          <t>ops.customer.initiative_per_bu.cnt * ops.initiative.cost_to_serve_absorbed.amt + ops.initiative.advisor_hour_navigate.cnt * ops.team.advisor_cost_hourly_absorbed.amt</t>
        </is>
      </c>
    </row>
    <row r="51">
      <c r="A51" s="5" t="inlineStr">
        <is>
          <t>finance.customer.margin.bu_absorbed.pct</t>
        </is>
      </c>
      <c r="B51" t="inlineStr">
        <is>
          <t>pct</t>
        </is>
      </c>
      <c r="C51">
        <f>(finance.customer.price.bu_listed.amt - ops.customer.cost_to_serve_bu_absorbed.amt) / finance.customer.price.bu_listed.amt * 100</f>
        <v/>
      </c>
      <c r="D51" t="n">
        <v>1</v>
      </c>
      <c r="E51" s="7">
        <f>ROUND(C51,D51)</f>
        <v/>
      </c>
      <c r="F51">
        <f>IF(full_precision,C51,E51)</f>
        <v/>
      </c>
      <c r="G51" s="7" t="n">
        <v>54.2</v>
      </c>
      <c r="H51" s="8">
        <f>E51-G51</f>
        <v/>
      </c>
      <c r="I51" t="inlineStr">
        <is>
          <t>yes</t>
        </is>
      </c>
      <c r="J51" s="5" t="inlineStr">
        <is>
          <t>(finance.customer.price.bu_listed.amt - ops.customer.cost_to_serve_bu_absorbed.amt) / finance.customer.price.bu_listed.amt * 100</t>
        </is>
      </c>
    </row>
    <row r="52">
      <c r="A52" s="1" t="inlineStr">
        <is>
          <t>Gross margin as the delivery model implies it</t>
        </is>
      </c>
      <c r="B52" s="2" t="n"/>
      <c r="C52" s="2" t="n"/>
      <c r="D52" s="2" t="n"/>
      <c r="E52" s="2" t="n"/>
      <c r="F52" s="2" t="n"/>
      <c r="G52" s="2" t="n"/>
      <c r="H52" s="2" t="n"/>
      <c r="I52" s="2" t="n"/>
      <c r="J52" s="2" t="n"/>
    </row>
    <row r="53">
      <c r="A53" s="5" t="inlineStr">
        <is>
          <t>finance.unit.margin.initiative_at_list.pct</t>
        </is>
      </c>
      <c r="B53" t="inlineStr">
        <is>
          <t>pct</t>
        </is>
      </c>
      <c r="C53">
        <f>(finance.unit.price.initiative_listed.amt - ops.initiative.cost_to_serve.amt) / finance.unit.price.initiative_listed.amt * 100</f>
        <v/>
      </c>
      <c r="D53" t="n">
        <v>1</v>
      </c>
      <c r="E53" s="7">
        <f>ROUND(C53,D53)</f>
        <v/>
      </c>
      <c r="F53">
        <f>IF(full_precision,C53,E53)</f>
        <v/>
      </c>
      <c r="G53" s="7" t="n">
        <v>40.8</v>
      </c>
      <c r="H53" s="8">
        <f>E53-G53</f>
        <v/>
      </c>
      <c r="I53" t="inlineStr">
        <is>
          <t>yes</t>
        </is>
      </c>
      <c r="J53" s="5" t="inlineStr">
        <is>
          <t>(finance.unit.price.initiative_listed.amt - ops.initiative.cost_to_serve.amt) / finance.unit.price.initiative_listed.amt * 100</t>
        </is>
      </c>
    </row>
    <row r="54">
      <c r="A54" s="5" t="inlineStr">
        <is>
          <t>finance.unit.margin.initiative_at_recent_price.pct</t>
        </is>
      </c>
      <c r="B54" t="inlineStr">
        <is>
          <t>pct</t>
        </is>
      </c>
      <c r="C54">
        <f>(finance.unit.price.pilot_recent.amt - ops.initiative.cost_to_serve.amt) / finance.unit.price.pilot_recent.amt * 100</f>
        <v/>
      </c>
      <c r="D54" t="n">
        <v>0</v>
      </c>
      <c r="E54" s="7">
        <f>ROUND(C54,D54)</f>
        <v/>
      </c>
      <c r="F54">
        <f>IF(full_precision,C54,E54)</f>
        <v/>
      </c>
      <c r="G54" s="7" t="n">
        <v>63</v>
      </c>
      <c r="H54" s="8">
        <f>E54-G54</f>
        <v/>
      </c>
      <c r="I54" t="inlineStr">
        <is>
          <t>yes</t>
        </is>
      </c>
      <c r="J54" s="5" t="inlineStr">
        <is>
          <t>(finance.unit.price.pilot_recent.amt - ops.initiative.cost_to_serve.amt) / finance.unit.price.pilot_recent.amt * 100</t>
        </is>
      </c>
    </row>
    <row r="55">
      <c r="A55" s="5" t="inlineStr">
        <is>
          <t>finance.unit.margin.claim_minus_derived.pct</t>
        </is>
      </c>
      <c r="B55" t="inlineStr">
        <is>
          <t>pct</t>
        </is>
      </c>
      <c r="C55">
        <f>finance.unit.margin.initiative_claimed.pct - finance.unit.margin.initiative_at_list.pct</f>
        <v/>
      </c>
      <c r="D55" t="n">
        <v>1</v>
      </c>
      <c r="E55" s="7">
        <f>ROUND(C55,D55)</f>
        <v/>
      </c>
      <c r="F55">
        <f>IF(full_precision,C55,E55)</f>
        <v/>
      </c>
      <c r="G55" s="7" t="n">
        <v>34.2</v>
      </c>
      <c r="H55" s="8">
        <f>E55-G55</f>
        <v/>
      </c>
      <c r="I55" t="inlineStr">
        <is>
          <t>yes</t>
        </is>
      </c>
      <c r="J55" s="5" t="inlineStr">
        <is>
          <t>finance.unit.margin.initiative_claimed.pct - finance.unit.margin.initiative_at_list.pct</t>
        </is>
      </c>
    </row>
    <row r="56">
      <c r="A56" s="5" t="inlineStr">
        <is>
          <t>finance.unit.margin.initiative_at_band_low.pct</t>
        </is>
      </c>
      <c r="B56" t="inlineStr">
        <is>
          <t>pct</t>
        </is>
      </c>
      <c r="C56">
        <f>(finance.unit.price.pilot_band_low.amt - ops.initiative.cost_to_serve.amt) / finance.unit.price.pilot_band_low.amt * 100</f>
        <v/>
      </c>
      <c r="D56" t="n">
        <v>1</v>
      </c>
      <c r="E56" s="7">
        <f>IF(full_precision,ROUND(C56,D56),50.6)</f>
        <v/>
      </c>
      <c r="F56">
        <f>IF(full_precision,C56,E56)</f>
        <v/>
      </c>
      <c r="G56" s="7" t="n">
        <v>50.6</v>
      </c>
      <c r="H56" s="8">
        <f>E56-G56</f>
        <v/>
      </c>
      <c r="I56" s="9" t="inlineStr">
        <is>
          <t>held to the memo</t>
        </is>
      </c>
      <c r="J56" s="5" t="inlineStr">
        <is>
          <t>(finance.unit.price.pilot_band_low.amt - ops.initiative.cost_to_serve.amt) / finance.unit.price.pilot_band_low.amt * 100</t>
        </is>
      </c>
    </row>
    <row r="57">
      <c r="A57" s="5" t="inlineStr">
        <is>
          <t>finance.unit.margin.initiative_at_band_high.pct</t>
        </is>
      </c>
      <c r="B57" t="inlineStr">
        <is>
          <t>pct</t>
        </is>
      </c>
      <c r="C57">
        <f>(finance.unit.price.pilot_band_high.amt - ops.initiative.cost_to_serve.amt) / finance.unit.price.pilot_band_high.amt * 100</f>
        <v/>
      </c>
      <c r="D57" t="n">
        <v>1</v>
      </c>
      <c r="E57" s="7">
        <f>ROUND(C57,D57)</f>
        <v/>
      </c>
      <c r="F57">
        <f>IF(full_precision,C57,E57)</f>
        <v/>
      </c>
      <c r="G57" s="7" t="n">
        <v>70.40000000000001</v>
      </c>
      <c r="H57" s="8">
        <f>E57-G57</f>
        <v/>
      </c>
      <c r="I57" t="inlineStr">
        <is>
          <t>yes</t>
        </is>
      </c>
      <c r="J57" s="5" t="inlineStr">
        <is>
          <t>(finance.unit.price.pilot_band_high.amt - ops.initiative.cost_to_serve.amt) / finance.unit.price.pilot_band_high.amt * 100</t>
        </is>
      </c>
    </row>
    <row r="58">
      <c r="A58" s="5" t="inlineStr">
        <is>
          <t>ops.initiative.advisor_hour_implied_at_recent_price.cnt</t>
        </is>
      </c>
      <c r="B58" t="inlineStr">
        <is>
          <t>count</t>
        </is>
      </c>
      <c r="C58">
        <f>(finance.unit.price.pilot_recent.amt * (100 - finance.unit.margin.initiative_claimed.pct) / 100 - ops.initiative.expert_cost.amt - ops.initiative.inference_cost.amt) / ops.team.advisor_cost_hourly.amt</f>
        <v/>
      </c>
      <c r="D58" t="n">
        <v>1</v>
      </c>
      <c r="E58" s="7">
        <f>ROUND(C58,D58)</f>
        <v/>
      </c>
      <c r="F58">
        <f>IF(full_precision,C58,E58)</f>
        <v/>
      </c>
      <c r="G58" s="7" t="n">
        <v>46.7</v>
      </c>
      <c r="H58" s="8">
        <f>E58-G58</f>
        <v/>
      </c>
      <c r="I58" t="inlineStr">
        <is>
          <t>yes</t>
        </is>
      </c>
      <c r="J58" s="5" t="inlineStr">
        <is>
          <t>(finance.unit.price.pilot_recent.amt * (100 - finance.unit.margin.initiative_claimed.pct) / 100 - ops.initiative.expert_cost.amt - ops.initiative.inference_cost.amt) / ops.team.advisor_cost_hourly.amt</t>
        </is>
      </c>
    </row>
    <row r="59">
      <c r="A59" s="5" t="inlineStr">
        <is>
          <t>ops.initiative.cost_implied_by_claim.amt</t>
        </is>
      </c>
      <c r="B59" t="inlineStr">
        <is>
          <t>USD</t>
        </is>
      </c>
      <c r="C59">
        <f>finance.unit.price.initiative_listed.amt * (100 - finance.unit.margin.initiative_claimed.pct) / 100</f>
        <v/>
      </c>
      <c r="D59" t="n">
        <v>0</v>
      </c>
      <c r="E59" s="7">
        <f>ROUND(C59,D59)</f>
        <v/>
      </c>
      <c r="F59">
        <f>IF(full_precision,C59,E59)</f>
        <v/>
      </c>
      <c r="G59" s="7" t="n">
        <v>6250</v>
      </c>
      <c r="H59" s="8">
        <f>E59-G59</f>
        <v/>
      </c>
      <c r="I59" t="inlineStr">
        <is>
          <t>yes</t>
        </is>
      </c>
      <c r="J59" s="5" t="inlineStr">
        <is>
          <t>finance.unit.price.initiative_listed.amt * (100 - finance.unit.margin.initiative_claimed.pct) / 100</t>
        </is>
      </c>
    </row>
    <row r="60">
      <c r="A60" s="5" t="inlineStr">
        <is>
          <t>ops.initiative.advisor_hour_implied_by_claim.cnt</t>
        </is>
      </c>
      <c r="B60" t="inlineStr">
        <is>
          <t>count</t>
        </is>
      </c>
      <c r="C60">
        <f>(ops.initiative.cost_implied_by_claim.amt - ops.initiative.expert_cost.amt - ops.initiative.inference_cost.amt) / ops.team.advisor_cost_hourly.amt</f>
        <v/>
      </c>
      <c r="D60" t="n">
        <v>1</v>
      </c>
      <c r="E60" s="7">
        <f>ROUND(C60,D60)</f>
        <v/>
      </c>
      <c r="F60">
        <f>IF(full_precision,C60,E60)</f>
        <v/>
      </c>
      <c r="G60" s="7" t="n">
        <v>20.8</v>
      </c>
      <c r="H60" s="8">
        <f>E60-G60</f>
        <v/>
      </c>
      <c r="I60" t="inlineStr">
        <is>
          <t>yes</t>
        </is>
      </c>
      <c r="J60" s="5" t="inlineStr">
        <is>
          <t>(ops.initiative.cost_implied_by_claim.amt - ops.initiative.expert_cost.amt - ops.initiative.inference_cost.amt) / ops.team.advisor_cost_hourly.amt</t>
        </is>
      </c>
    </row>
    <row r="61">
      <c r="A61" s="5" t="inlineStr">
        <is>
          <t>ops.customer.cost_to_serve_bu.amt</t>
        </is>
      </c>
      <c r="B61" t="inlineStr">
        <is>
          <t>USD</t>
        </is>
      </c>
      <c r="C61">
        <f>ops.customer.initiative_per_bu.cnt * ops.initiative.cost_to_serve.amt + ops.initiative.advisor_hour_navigate.cnt * ops.team.advisor_cost_hourly.amt</f>
        <v/>
      </c>
      <c r="D61" t="n">
        <v>0</v>
      </c>
      <c r="E61" s="7">
        <f>ROUND(C61,D61)</f>
        <v/>
      </c>
      <c r="F61">
        <f>IF(full_precision,C61,E61)</f>
        <v/>
      </c>
      <c r="G61" s="7" t="n">
        <v>95691</v>
      </c>
      <c r="H61" s="8">
        <f>E61-G61</f>
        <v/>
      </c>
      <c r="I61" t="inlineStr">
        <is>
          <t>yes</t>
        </is>
      </c>
      <c r="J61" s="5" t="inlineStr">
        <is>
          <t>ops.customer.initiative_per_bu.cnt * ops.initiative.cost_to_serve.amt + ops.initiative.advisor_hour_navigate.cnt * ops.team.advisor_cost_hourly.amt</t>
        </is>
      </c>
    </row>
    <row r="62">
      <c r="A62" s="5" t="inlineStr">
        <is>
          <t>finance.customer.margin.bu_derived.pct</t>
        </is>
      </c>
      <c r="B62" t="inlineStr">
        <is>
          <t>pct</t>
        </is>
      </c>
      <c r="C62">
        <f>(finance.customer.price.bu_listed.amt - ops.customer.cost_to_serve_bu.amt) / finance.customer.price.bu_listed.amt * 100</f>
        <v/>
      </c>
      <c r="D62" t="n">
        <v>1</v>
      </c>
      <c r="E62" s="7">
        <f>ROUND(C62,D62)</f>
        <v/>
      </c>
      <c r="F62">
        <f>IF(full_precision,C62,E62)</f>
        <v/>
      </c>
      <c r="G62" s="7" t="n">
        <v>61.7</v>
      </c>
      <c r="H62" s="8">
        <f>E62-G62</f>
        <v/>
      </c>
      <c r="I62" t="inlineStr">
        <is>
          <t>yes</t>
        </is>
      </c>
      <c r="J62" s="5" t="inlineStr">
        <is>
          <t>(finance.customer.price.bu_listed.amt - ops.customer.cost_to_serve_bu.amt) / finance.customer.price.bu_listed.amt * 100</t>
        </is>
      </c>
    </row>
    <row r="63">
      <c r="A63" s="5" t="inlineStr">
        <is>
          <t>finance.customer.margin.bu_claim_minus_derived.pct</t>
        </is>
      </c>
      <c r="B63" t="inlineStr">
        <is>
          <t>pct</t>
        </is>
      </c>
      <c r="C63">
        <f>finance.customer.margin.bu_claimed.pct - finance.customer.margin.bu_derived.pct</f>
        <v/>
      </c>
      <c r="D63" t="n">
        <v>1</v>
      </c>
      <c r="E63" s="7">
        <f>ROUND(C63,D63)</f>
        <v/>
      </c>
      <c r="F63">
        <f>IF(full_precision,C63,E63)</f>
        <v/>
      </c>
      <c r="G63" s="7" t="n">
        <v>18.3</v>
      </c>
      <c r="H63" s="8">
        <f>E63-G63</f>
        <v/>
      </c>
      <c r="I63" t="inlineStr">
        <is>
          <t>yes</t>
        </is>
      </c>
      <c r="J63" s="5" t="inlineStr">
        <is>
          <t>finance.customer.margin.bu_claimed.pct - finance.customer.margin.bu_derived.pct</t>
        </is>
      </c>
    </row>
    <row r="64">
      <c r="A64" s="1" t="inlineStr">
        <is>
          <t>The stated trajectory, and what it requires</t>
        </is>
      </c>
      <c r="B64" s="2" t="n"/>
      <c r="C64" s="2" t="n"/>
      <c r="D64" s="2" t="n"/>
      <c r="E64" s="2" t="n"/>
      <c r="F64" s="2" t="n"/>
      <c r="G64" s="2" t="n"/>
      <c r="H64" s="2" t="n"/>
      <c r="I64" s="2" t="n"/>
      <c r="J64" s="2" t="n"/>
    </row>
    <row r="65">
      <c r="A65" s="5" t="inlineStr">
        <is>
          <t>market.opportunity.share_required.pct.2029.low_build</t>
        </is>
      </c>
      <c r="B65" t="inlineStr">
        <is>
          <t>pct</t>
        </is>
      </c>
      <c r="C65">
        <f>finance.revenue.arr_plan.amt.2029 / market.opportunity.tam_built.amt.low * 100</f>
        <v/>
      </c>
      <c r="D65" t="n">
        <v>1</v>
      </c>
      <c r="E65" s="7">
        <f>ROUND(C65,D65)</f>
        <v/>
      </c>
      <c r="F65">
        <f>IF(full_precision,C65,E65)</f>
        <v/>
      </c>
      <c r="G65" s="7" t="n">
        <v>70.7</v>
      </c>
      <c r="H65" s="8">
        <f>E65-G65</f>
        <v/>
      </c>
      <c r="I65" t="inlineStr">
        <is>
          <t>yes</t>
        </is>
      </c>
      <c r="J65" s="5" t="inlineStr">
        <is>
          <t>finance.revenue.arr_plan.amt.2029 / market.opportunity.tam_built.amt.low * 100</t>
        </is>
      </c>
    </row>
    <row r="66">
      <c r="A66" s="5" t="inlineStr">
        <is>
          <t>market.opportunity.share_required.pct.2029.high_build</t>
        </is>
      </c>
      <c r="B66" t="inlineStr">
        <is>
          <t>pct</t>
        </is>
      </c>
      <c r="C66">
        <f>finance.revenue.arr_plan.amt.2029 / market.opportunity.tam_built.amt.high * 100</f>
        <v/>
      </c>
      <c r="D66" t="n">
        <v>1</v>
      </c>
      <c r="E66" s="7">
        <f>ROUND(C66,D66)</f>
        <v/>
      </c>
      <c r="F66">
        <f>IF(full_precision,C66,E66)</f>
        <v/>
      </c>
      <c r="G66" s="7" t="n">
        <v>10.9</v>
      </c>
      <c r="H66" s="8">
        <f>E66-G66</f>
        <v/>
      </c>
      <c r="I66" t="inlineStr">
        <is>
          <t>yes</t>
        </is>
      </c>
      <c r="J66" s="5" t="inlineStr">
        <is>
          <t>finance.revenue.arr_plan.amt.2029 / market.opportunity.tam_built.amt.high * 100</t>
        </is>
      </c>
    </row>
    <row r="67">
      <c r="A67" s="5" t="inlineStr">
        <is>
          <t>market.opportunity.claimed_over_built_high.ratio</t>
        </is>
      </c>
      <c r="B67" t="inlineStr">
        <is>
          <t>ratio</t>
        </is>
      </c>
      <c r="C67">
        <f>market.opportunity.tam_claimed.amt / market.opportunity.tam_built.amt.high</f>
        <v/>
      </c>
      <c r="D67" t="n">
        <v>1</v>
      </c>
      <c r="E67" s="7">
        <f>ROUND(C67,D67)</f>
        <v/>
      </c>
      <c r="F67">
        <f>IF(full_precision,C67,E67)</f>
        <v/>
      </c>
      <c r="G67" s="7" t="n">
        <v>7.7</v>
      </c>
      <c r="H67" s="8">
        <f>E67-G67</f>
        <v/>
      </c>
      <c r="I67" t="inlineStr">
        <is>
          <t>yes</t>
        </is>
      </c>
      <c r="J67" s="5" t="inlineStr">
        <is>
          <t>market.opportunity.tam_claimed.amt / market.opportunity.tam_built.amt.high</t>
        </is>
      </c>
    </row>
    <row r="68">
      <c r="A68" s="5" t="inlineStr">
        <is>
          <t>ops.team.advisor_at_tenth_share.cnt</t>
        </is>
      </c>
      <c r="B68" t="inlineStr">
        <is>
          <t>count</t>
        </is>
      </c>
      <c r="C68">
        <f>market.opportunity.bu_at_tenth_share.cnt / ops.team.bu_per_advisor.cnt</f>
        <v/>
      </c>
      <c r="D68" t="n">
        <v>0</v>
      </c>
      <c r="E68" s="7">
        <f>ROUND(C68,D68)</f>
        <v/>
      </c>
      <c r="F68">
        <f>IF(full_precision,C68,E68)</f>
        <v/>
      </c>
      <c r="G68" s="7" t="n">
        <v>170</v>
      </c>
      <c r="H68" s="8">
        <f>E68-G68</f>
        <v/>
      </c>
      <c r="I68" t="inlineStr">
        <is>
          <t>yes</t>
        </is>
      </c>
      <c r="J68" s="5" t="inlineStr">
        <is>
          <t>market.opportunity.bu_at_tenth_share.cnt / ops.team.bu_per_advisor.cnt</t>
        </is>
      </c>
    </row>
    <row r="69">
      <c r="A69" s="5" t="inlineStr">
        <is>
          <t>ops.team.advisor_payroll_at_tenth_share.amt</t>
        </is>
      </c>
      <c r="B69" t="inlineStr">
        <is>
          <t>USD M</t>
        </is>
      </c>
      <c r="C69">
        <f>ops.team.advisor_at_tenth_share.cnt * ops.team.advisor_cost_loaded.amt / 1000000</f>
        <v/>
      </c>
      <c r="D69" t="n">
        <v>1</v>
      </c>
      <c r="E69" s="7">
        <f>ROUND(C69,D69)</f>
        <v/>
      </c>
      <c r="F69">
        <f>IF(full_precision,C69,E69)</f>
        <v/>
      </c>
      <c r="G69" s="7" t="n">
        <v>44.2</v>
      </c>
      <c r="H69" s="8">
        <f>E69-G69</f>
        <v/>
      </c>
      <c r="I69" t="inlineStr">
        <is>
          <t>yes</t>
        </is>
      </c>
      <c r="J69" s="5" t="inlineStr">
        <is>
          <t>ops.team.advisor_at_tenth_share.cnt * ops.team.advisor_cost_loaded.amt / 1000000</t>
        </is>
      </c>
    </row>
    <row r="70">
      <c r="A70" s="5" t="inlineStr">
        <is>
          <t>finance.revenue.growth_plan.ratio.2027</t>
        </is>
      </c>
      <c r="B70" t="inlineStr">
        <is>
          <t>ratio</t>
        </is>
      </c>
      <c r="C70">
        <f>finance.revenue.arr_plan.amt.2027 / finance.revenue.arr_plan.amt.2026</f>
        <v/>
      </c>
      <c r="D70" t="n">
        <v>1</v>
      </c>
      <c r="E70" s="7">
        <f>ROUND(C70,D70)</f>
        <v/>
      </c>
      <c r="F70">
        <f>IF(full_precision,C70,E70)</f>
        <v/>
      </c>
      <c r="G70" s="7" t="n">
        <v>5.7</v>
      </c>
      <c r="H70" s="8">
        <f>E70-G70</f>
        <v/>
      </c>
      <c r="I70" t="inlineStr">
        <is>
          <t>yes</t>
        </is>
      </c>
      <c r="J70" s="5" t="inlineStr">
        <is>
          <t>finance.revenue.arr_plan.amt.2027 / finance.revenue.arr_plan.amt.2026</t>
        </is>
      </c>
    </row>
    <row r="71">
      <c r="A71" s="5" t="inlineStr">
        <is>
          <t>finance.revenue.growth_plan.ratio.2028</t>
        </is>
      </c>
      <c r="B71" t="inlineStr">
        <is>
          <t>ratio</t>
        </is>
      </c>
      <c r="C71">
        <f>finance.revenue.arr_plan.amt.2028 / finance.revenue.arr_plan.amt.2027</f>
        <v/>
      </c>
      <c r="D71" t="n">
        <v>1</v>
      </c>
      <c r="E71" s="7">
        <f>ROUND(C71,D71)</f>
        <v/>
      </c>
      <c r="F71">
        <f>IF(full_precision,C71,E71)</f>
        <v/>
      </c>
      <c r="G71" s="7" t="n">
        <v>3.6</v>
      </c>
      <c r="H71" s="8">
        <f>E71-G71</f>
        <v/>
      </c>
      <c r="I71" t="inlineStr">
        <is>
          <t>yes</t>
        </is>
      </c>
      <c r="J71" s="5" t="inlineStr">
        <is>
          <t>finance.revenue.arr_plan.amt.2028 / finance.revenue.arr_plan.amt.2027</t>
        </is>
      </c>
    </row>
    <row r="72">
      <c r="A72" s="5" t="inlineStr">
        <is>
          <t>finance.revenue.growth_plan.ratio.2029</t>
        </is>
      </c>
      <c r="B72" t="inlineStr">
        <is>
          <t>ratio</t>
        </is>
      </c>
      <c r="C72">
        <f>finance.revenue.arr_plan.amt.2029 / finance.revenue.arr_plan.amt.2028</f>
        <v/>
      </c>
      <c r="D72" t="n">
        <v>1</v>
      </c>
      <c r="E72" s="7">
        <f>ROUND(C72,D72)</f>
        <v/>
      </c>
      <c r="F72">
        <f>IF(full_precision,C72,E72)</f>
        <v/>
      </c>
      <c r="G72" s="7" t="n">
        <v>2.1</v>
      </c>
      <c r="H72" s="8">
        <f>E72-G72</f>
        <v/>
      </c>
      <c r="I72" t="inlineStr">
        <is>
          <t>yes</t>
        </is>
      </c>
      <c r="J72" s="5" t="inlineStr">
        <is>
          <t>finance.revenue.arr_plan.amt.2029 / finance.revenue.arr_plan.amt.2028</t>
        </is>
      </c>
    </row>
    <row r="73">
      <c r="A73" s="5" t="inlineStr">
        <is>
          <t>finance.customer.bu_required.cnt.2029</t>
        </is>
      </c>
      <c r="B73" t="inlineStr">
        <is>
          <t>count</t>
        </is>
      </c>
      <c r="C73">
        <f>finance.revenue.arr_plan.amt.2029 * 1000000 / finance.customer.price.bu_listed.amt</f>
        <v/>
      </c>
      <c r="D73" t="n">
        <v>0</v>
      </c>
      <c r="E73" s="7">
        <f>ROUND(C73,D73)</f>
        <v/>
      </c>
      <c r="F73">
        <f>IF(full_precision,C73,E73)</f>
        <v/>
      </c>
      <c r="G73" s="7" t="n">
        <v>1060</v>
      </c>
      <c r="H73" s="8">
        <f>E73-G73</f>
        <v/>
      </c>
      <c r="I73" t="inlineStr">
        <is>
          <t>yes</t>
        </is>
      </c>
      <c r="J73" s="5" t="inlineStr">
        <is>
          <t>finance.revenue.arr_plan.amt.2029 * 1000000 / finance.customer.price.bu_listed.amt</t>
        </is>
      </c>
    </row>
    <row r="74">
      <c r="A74" s="5" t="inlineStr">
        <is>
          <t>market.opportunity.share_required.pct.2029</t>
        </is>
      </c>
      <c r="B74" t="inlineStr">
        <is>
          <t>pct</t>
        </is>
      </c>
      <c r="C74">
        <f>finance.revenue.arr_plan.amt.2029 / market.opportunity.tam_built.amt * 100</f>
        <v/>
      </c>
      <c r="D74" t="n">
        <v>1</v>
      </c>
      <c r="E74" s="7">
        <f>ROUND(C74,D74)</f>
        <v/>
      </c>
      <c r="F74">
        <f>IF(full_precision,C74,E74)</f>
        <v/>
      </c>
      <c r="G74" s="7" t="n">
        <v>23.6</v>
      </c>
      <c r="H74" s="8">
        <f>E74-G74</f>
        <v/>
      </c>
      <c r="I74" t="inlineStr">
        <is>
          <t>yes</t>
        </is>
      </c>
      <c r="J74" s="5" t="inlineStr">
        <is>
          <t>finance.revenue.arr_plan.amt.2029 / market.opportunity.tam_built.amt * 100</t>
        </is>
      </c>
    </row>
    <row r="75">
      <c r="A75" s="5" t="inlineStr">
        <is>
          <t>market.customer.bu_share_required.pct.2029</t>
        </is>
      </c>
      <c r="B75" t="inlineStr">
        <is>
          <t>pct</t>
        </is>
      </c>
      <c r="C75">
        <f>finance.customer.bu_required.cnt.2029 / market.customer.bu_addressable.cnt * 100</f>
        <v/>
      </c>
      <c r="D75" t="n">
        <v>1</v>
      </c>
      <c r="E75" s="7">
        <f>ROUND(C75,D75)</f>
        <v/>
      </c>
      <c r="F75">
        <f>IF(full_precision,C75,E75)</f>
        <v/>
      </c>
      <c r="G75" s="7" t="n">
        <v>23.6</v>
      </c>
      <c r="H75" s="8">
        <f>E75-G75</f>
        <v/>
      </c>
      <c r="I75" t="inlineStr">
        <is>
          <t>yes</t>
        </is>
      </c>
      <c r="J75" s="5" t="inlineStr">
        <is>
          <t>finance.customer.bu_required.cnt.2029 / market.customer.bu_addressable.cnt * 100</t>
        </is>
      </c>
    </row>
    <row r="76">
      <c r="A76" s="5" t="inlineStr">
        <is>
          <t>ops.team.bu_per_advisor.cnt</t>
        </is>
      </c>
      <c r="B76" t="inlineStr">
        <is>
          <t>count</t>
        </is>
      </c>
      <c r="C76">
        <f>ops.team.advisor_hour_billable.cnt / (ops.customer.initiative_per_bu.cnt * ops.initiative.advisor_hour.cnt + ops.initiative.advisor_hour_navigate.cnt)</f>
        <v/>
      </c>
      <c r="D76" t="n">
        <v>2</v>
      </c>
      <c r="E76" s="7">
        <f>ROUND(C76,D76)</f>
        <v/>
      </c>
      <c r="F76">
        <f>IF(full_precision,C76,E76)</f>
        <v/>
      </c>
      <c r="G76" s="7" t="n">
        <v>2.65</v>
      </c>
      <c r="H76" s="8">
        <f>E76-G76</f>
        <v/>
      </c>
      <c r="I76" t="inlineStr">
        <is>
          <t>yes</t>
        </is>
      </c>
      <c r="J76" s="5" t="inlineStr">
        <is>
          <t>ops.team.advisor_hour_billable.cnt / (ops.customer.initiative_per_bu.cnt * ops.initiative.advisor_hour.cnt + ops.initiative.advisor_hour_navigate.cnt)</t>
        </is>
      </c>
    </row>
    <row r="77">
      <c r="A77" s="5" t="inlineStr">
        <is>
          <t>ops.team.advisor_required.cnt.2029</t>
        </is>
      </c>
      <c r="B77" t="inlineStr">
        <is>
          <t>count</t>
        </is>
      </c>
      <c r="C77">
        <f>finance.customer.bu_required.cnt.2029 / ops.team.bu_per_advisor.cnt</f>
        <v/>
      </c>
      <c r="D77" t="n">
        <v>0</v>
      </c>
      <c r="E77" s="7">
        <f>ROUND(C77,D77)</f>
        <v/>
      </c>
      <c r="F77">
        <f>IF(full_precision,C77,E77)</f>
        <v/>
      </c>
      <c r="G77" s="7" t="n">
        <v>400</v>
      </c>
      <c r="H77" s="8">
        <f>E77-G77</f>
        <v/>
      </c>
      <c r="I77" t="inlineStr">
        <is>
          <t>yes</t>
        </is>
      </c>
      <c r="J77" s="5" t="inlineStr">
        <is>
          <t>finance.customer.bu_required.cnt.2029 / ops.team.bu_per_advisor.cnt</t>
        </is>
      </c>
    </row>
    <row r="78">
      <c r="A78" s="5" t="inlineStr">
        <is>
          <t>ops.team.advisor_payroll.amt.2029</t>
        </is>
      </c>
      <c r="B78" t="inlineStr">
        <is>
          <t>USD M</t>
        </is>
      </c>
      <c r="C78">
        <f>ops.team.advisor_required.cnt.2029 * ops.team.advisor_cost_loaded.amt / 1000000</f>
        <v/>
      </c>
      <c r="D78" t="n">
        <v>0</v>
      </c>
      <c r="E78" s="7">
        <f>ROUND(C78,D78)</f>
        <v/>
      </c>
      <c r="F78">
        <f>IF(full_precision,C78,E78)</f>
        <v/>
      </c>
      <c r="G78" s="7" t="n">
        <v>104</v>
      </c>
      <c r="H78" s="8">
        <f>E78-G78</f>
        <v/>
      </c>
      <c r="I78" t="inlineStr">
        <is>
          <t>yes</t>
        </is>
      </c>
      <c r="J78" s="5" t="inlineStr">
        <is>
          <t>ops.team.advisor_required.cnt.2029 * ops.team.advisor_cost_loaded.amt / 1000000</t>
        </is>
      </c>
    </row>
    <row r="79">
      <c r="A79" s="5" t="inlineStr">
        <is>
          <t>finance.revenue.growth_plan.pct.2027</t>
        </is>
      </c>
      <c r="B79" t="inlineStr">
        <is>
          <t>pct</t>
        </is>
      </c>
      <c r="C79">
        <f>(finance.revenue.arr_plan.amt.2027 - finance.revenue.arr_plan.amt.2026) / finance.revenue.arr_plan.amt.2026 * 100</f>
        <v/>
      </c>
      <c r="D79" t="n">
        <v>0</v>
      </c>
      <c r="E79" s="7">
        <f>ROUND(C79,D79)</f>
        <v/>
      </c>
      <c r="F79">
        <f>IF(full_precision,C79,E79)</f>
        <v/>
      </c>
      <c r="G79" s="7" t="n">
        <v>467</v>
      </c>
      <c r="H79" s="8">
        <f>E79-G79</f>
        <v/>
      </c>
      <c r="I79" t="inlineStr">
        <is>
          <t>yes</t>
        </is>
      </c>
      <c r="J79" s="5" t="inlineStr">
        <is>
          <t>(finance.revenue.arr_plan.amt.2027 - finance.revenue.arr_plan.amt.2026) / finance.revenue.arr_plan.amt.2026 * 100</t>
        </is>
      </c>
    </row>
    <row r="80">
      <c r="A80" s="5" t="inlineStr">
        <is>
          <t>finance.revenue.growth_over_top_quartile.ratio.2027</t>
        </is>
      </c>
      <c r="B80" t="inlineStr">
        <is>
          <t>ratio</t>
        </is>
      </c>
      <c r="C80">
        <f>finance.revenue.growth_plan.pct.2027 / _market.competitor.saas_growth_top_quartile.pct</f>
        <v/>
      </c>
      <c r="D80" t="n">
        <v>1</v>
      </c>
      <c r="E80" s="7">
        <f>ROUND(C80,D80)</f>
        <v/>
      </c>
      <c r="F80">
        <f>IF(full_precision,C80,E80)</f>
        <v/>
      </c>
      <c r="G80" s="7" t="n">
        <v>6.7</v>
      </c>
      <c r="H80" s="8">
        <f>E80-G80</f>
        <v/>
      </c>
      <c r="I80" t="inlineStr">
        <is>
          <t>yes</t>
        </is>
      </c>
      <c r="J80" s="5" t="inlineStr">
        <is>
          <t>finance.revenue.growth_plan.pct.2027 / _market.competitor.saas_growth_top_quartile.pct</t>
        </is>
      </c>
    </row>
    <row r="81">
      <c r="A81" s="1" t="inlineStr">
        <is>
          <t>Margin in the world the memo calls most likely</t>
        </is>
      </c>
      <c r="B81" s="2" t="n"/>
      <c r="C81" s="2" t="n"/>
      <c r="D81" s="2" t="n"/>
      <c r="E81" s="2" t="n"/>
      <c r="F81" s="2" t="n"/>
      <c r="G81" s="2" t="n"/>
      <c r="H81" s="2" t="n"/>
      <c r="I81" s="2" t="n"/>
      <c r="J81" s="2" t="n"/>
    </row>
    <row r="82">
      <c r="A82" s="5" t="inlineStr">
        <is>
          <t>finance.customer.bu_required.cnt.2029.at_realized_price</t>
        </is>
      </c>
      <c r="B82" t="inlineStr">
        <is>
          <t>count</t>
        </is>
      </c>
      <c r="C82">
        <f>finance.revenue.arr_plan.amt.2029 * 1000000 / finance.customer.price.bu_realized.amt.mid</f>
        <v/>
      </c>
      <c r="D82" t="n">
        <v>0</v>
      </c>
      <c r="E82" s="7">
        <f>ROUND(C82,D82)</f>
        <v/>
      </c>
      <c r="F82">
        <f>IF(full_precision,C82,E82)</f>
        <v/>
      </c>
      <c r="G82" s="7" t="n">
        <v>1325</v>
      </c>
      <c r="H82" s="8">
        <f>E82-G82</f>
        <v/>
      </c>
      <c r="I82" t="inlineStr">
        <is>
          <t>yes</t>
        </is>
      </c>
      <c r="J82" s="5" t="inlineStr">
        <is>
          <t>finance.revenue.arr_plan.amt.2029 * 1000000 / finance.customer.price.bu_realized.amt.mid</t>
        </is>
      </c>
    </row>
    <row r="83">
      <c r="A83" s="5" t="inlineStr">
        <is>
          <t>ops.team.advisor_required.cnt.2029.at_realized_price</t>
        </is>
      </c>
      <c r="B83" t="inlineStr">
        <is>
          <t>count</t>
        </is>
      </c>
      <c r="C83">
        <f>finance.customer.bu_required.cnt.2029.at_realized_price / ops.team.bu_per_advisor.cnt</f>
        <v/>
      </c>
      <c r="D83" t="n">
        <v>0</v>
      </c>
      <c r="E83" s="7">
        <f>ROUND(C83,D83)</f>
        <v/>
      </c>
      <c r="F83">
        <f>IF(full_precision,C83,E83)</f>
        <v/>
      </c>
      <c r="G83" s="7" t="n">
        <v>500</v>
      </c>
      <c r="H83" s="8">
        <f>E83-G83</f>
        <v/>
      </c>
      <c r="I83" t="inlineStr">
        <is>
          <t>yes</t>
        </is>
      </c>
      <c r="J83" s="5" t="inlineStr">
        <is>
          <t>finance.customer.bu_required.cnt.2029.at_realized_price / ops.team.bu_per_advisor.cnt</t>
        </is>
      </c>
    </row>
    <row r="84">
      <c r="A84" s="5" t="inlineStr">
        <is>
          <t>finance.customer.margin.bu_at_realized_price.pct</t>
        </is>
      </c>
      <c r="B84" t="inlineStr">
        <is>
          <t>pct</t>
        </is>
      </c>
      <c r="C84">
        <f>(finance.customer.price.bu_realized.amt.mid - ops.customer.cost_to_serve_bu.amt) / finance.customer.price.bu_realized.amt.mid * 100</f>
        <v/>
      </c>
      <c r="D84" t="n">
        <v>1</v>
      </c>
      <c r="E84" s="7">
        <f>ROUND(C84,D84)</f>
        <v/>
      </c>
      <c r="F84">
        <f>IF(full_precision,C84,E84)</f>
        <v/>
      </c>
      <c r="G84" s="7" t="n">
        <v>52.2</v>
      </c>
      <c r="H84" s="8">
        <f>E84-G84</f>
        <v/>
      </c>
      <c r="I84" t="inlineStr">
        <is>
          <t>yes</t>
        </is>
      </c>
      <c r="J84" s="5" t="inlineStr">
        <is>
          <t>(finance.customer.price.bu_realized.amt.mid - ops.customer.cost_to_serve_bu.amt) / finance.customer.price.bu_realized.amt.mid * 100</t>
        </is>
      </c>
    </row>
    <row r="85">
      <c r="A85" s="5" t="inlineStr">
        <is>
          <t>finance.customer.margin.bu_at_realized_price_absorbed.pct</t>
        </is>
      </c>
      <c r="B85" t="inlineStr">
        <is>
          <t>pct</t>
        </is>
      </c>
      <c r="C85">
        <f>(finance.customer.price.bu_realized.amt.mid - ops.customer.cost_to_serve_bu_absorbed.amt) / finance.customer.price.bu_realized.amt.mid * 100</f>
        <v/>
      </c>
      <c r="D85" t="n">
        <v>1</v>
      </c>
      <c r="E85" s="7">
        <f>ROUND(C85,D85)</f>
        <v/>
      </c>
      <c r="F85">
        <f>IF(full_precision,C85,E85)</f>
        <v/>
      </c>
      <c r="G85" s="7" t="n">
        <v>42.8</v>
      </c>
      <c r="H85" s="8">
        <f>E85-G85</f>
        <v/>
      </c>
      <c r="I85" t="inlineStr">
        <is>
          <t>yes</t>
        </is>
      </c>
      <c r="J85" s="5" t="inlineStr">
        <is>
          <t>(finance.customer.price.bu_realized.amt.mid - ops.customer.cost_to_serve_bu_absorbed.amt) / finance.customer.price.bu_realized.amt.mid * 100</t>
        </is>
      </c>
    </row>
    <row r="86">
      <c r="A86" s="1" t="inlineStr">
        <is>
          <t>Where the evidence puts the near term</t>
        </is>
      </c>
      <c r="B86" s="2" t="n"/>
      <c r="C86" s="2" t="n"/>
      <c r="D86" s="2" t="n"/>
      <c r="E86" s="2" t="n"/>
      <c r="F86" s="2" t="n"/>
      <c r="G86" s="2" t="n"/>
      <c r="H86" s="2" t="n"/>
      <c r="I86" s="2" t="n"/>
      <c r="J86" s="2" t="n"/>
    </row>
    <row r="87">
      <c r="A87" s="5" t="inlineStr">
        <is>
          <t>demand.customer.bu_contracted.cnt.low</t>
        </is>
      </c>
      <c r="B87" t="inlineStr">
        <is>
          <t>count</t>
        </is>
      </c>
      <c r="C87">
        <f>demand.customer.conversion_pool.cnt * demand.customer.conversion.pct.low / 100</f>
        <v/>
      </c>
      <c r="D87" t="n">
        <v>0</v>
      </c>
      <c r="E87" s="7">
        <f>ROUND(C87,D87)</f>
        <v/>
      </c>
      <c r="F87">
        <f>IF(full_precision,C87,E87)</f>
        <v/>
      </c>
      <c r="G87" s="7" t="n">
        <v>2</v>
      </c>
      <c r="H87" s="8">
        <f>E87-G87</f>
        <v/>
      </c>
      <c r="I87" t="inlineStr">
        <is>
          <t>yes</t>
        </is>
      </c>
      <c r="J87" s="5" t="inlineStr">
        <is>
          <t>demand.customer.conversion_pool.cnt * demand.customer.conversion.pct.low / 100</t>
        </is>
      </c>
    </row>
    <row r="88">
      <c r="A88" s="5" t="inlineStr">
        <is>
          <t>demand.customer.bu_contracted.cnt.mid</t>
        </is>
      </c>
      <c r="B88" t="inlineStr">
        <is>
          <t>count</t>
        </is>
      </c>
      <c r="C88">
        <f>demand.customer.conversion_pool.cnt * demand.customer.conversion.pct.mid / 100</f>
        <v/>
      </c>
      <c r="D88" t="n">
        <v>0</v>
      </c>
      <c r="E88" s="7">
        <f>ROUND(C88,D88)</f>
        <v/>
      </c>
      <c r="F88">
        <f>IF(full_precision,C88,E88)</f>
        <v/>
      </c>
      <c r="G88" s="7" t="n">
        <v>6</v>
      </c>
      <c r="H88" s="8">
        <f>E88-G88</f>
        <v/>
      </c>
      <c r="I88" t="inlineStr">
        <is>
          <t>yes</t>
        </is>
      </c>
      <c r="J88" s="5" t="inlineStr">
        <is>
          <t>demand.customer.conversion_pool.cnt * demand.customer.conversion.pct.mid / 100</t>
        </is>
      </c>
    </row>
    <row r="89">
      <c r="A89" s="5" t="inlineStr">
        <is>
          <t>demand.customer.bu_contracted.cnt.high</t>
        </is>
      </c>
      <c r="B89" t="inlineStr">
        <is>
          <t>count</t>
        </is>
      </c>
      <c r="C89">
        <f>demand.customer.conversion_pool.cnt * demand.customer.conversion.pct.high / 100</f>
        <v/>
      </c>
      <c r="D89" t="n">
        <v>0</v>
      </c>
      <c r="E89" s="7">
        <f>ROUND(C89,D89)</f>
        <v/>
      </c>
      <c r="F89">
        <f>IF(full_precision,C89,E89)</f>
        <v/>
      </c>
      <c r="G89" s="7" t="n">
        <v>12</v>
      </c>
      <c r="H89" s="8">
        <f>E89-G89</f>
        <v/>
      </c>
      <c r="I89" t="inlineStr">
        <is>
          <t>yes</t>
        </is>
      </c>
      <c r="J89" s="5" t="inlineStr">
        <is>
          <t>demand.customer.conversion_pool.cnt * demand.customer.conversion.pct.high / 100</t>
        </is>
      </c>
    </row>
    <row r="90">
      <c r="A90" s="5" t="inlineStr">
        <is>
          <t>demand.customer.conversion_observed.pct</t>
        </is>
      </c>
      <c r="B90" t="inlineStr">
        <is>
          <t>pct</t>
        </is>
      </c>
      <c r="C90">
        <f>demand.customer.conversion_observed.cnt / demand.customer.paid_pilot.cnt * 100</f>
        <v/>
      </c>
      <c r="D90" t="n">
        <v>0</v>
      </c>
      <c r="E90" s="7">
        <f>ROUND(C90,D90)</f>
        <v/>
      </c>
      <c r="F90">
        <f>IF(full_precision,C90,E90)</f>
        <v/>
      </c>
      <c r="G90" s="7" t="n">
        <v>5</v>
      </c>
      <c r="H90" s="8">
        <f>E90-G90</f>
        <v/>
      </c>
      <c r="I90" t="inlineStr">
        <is>
          <t>yes</t>
        </is>
      </c>
      <c r="J90" s="5" t="inlineStr">
        <is>
          <t>demand.customer.conversion_observed.cnt / demand.customer.paid_pilot.cnt * 100</t>
        </is>
      </c>
    </row>
    <row r="91">
      <c r="A91" s="5" t="inlineStr">
        <is>
          <t>demand.customer.conversion_pool.cnt.low</t>
        </is>
      </c>
      <c r="B91" t="inlineStr">
        <is>
          <t>count</t>
        </is>
      </c>
      <c r="C91" s="9" t="inlineStr"/>
      <c r="D91" t="n">
        <v>0</v>
      </c>
      <c r="E91" s="10" t="n">
        <v>20</v>
      </c>
      <c r="F91">
        <f>E91</f>
        <v/>
      </c>
      <c r="G91" s="7" t="n">
        <v>20</v>
      </c>
      <c r="H91" s="8">
        <f>E91-G91</f>
        <v/>
      </c>
      <c r="I91" s="9" t="inlineStr">
        <is>
          <t>no - the memo did not record its formula</t>
        </is>
      </c>
      <c r="J91" s="5" t="inlineStr">
        <is>
          <t>depends_on=demand.customer.paid_pilot.cnt; the reading in which the stated pipeline already contains the pilots already run, so nothing is added to them</t>
        </is>
      </c>
    </row>
    <row r="92">
      <c r="A92" s="5" t="inlineStr">
        <is>
          <t>demand.customer.conversion_pool.cnt</t>
        </is>
      </c>
      <c r="B92" t="inlineStr">
        <is>
          <t>count</t>
        </is>
      </c>
      <c r="C92">
        <f>demand.customer.paid_pilot.cnt + demand.customer.pipeline.cnt * demand.customer.pipeline_to_paid.pct / 100</f>
        <v/>
      </c>
      <c r="D92" t="n">
        <v>0</v>
      </c>
      <c r="E92" s="7">
        <f>ROUND(C92,D92)</f>
        <v/>
      </c>
      <c r="F92">
        <f>IF(full_precision,C92,E92)</f>
        <v/>
      </c>
      <c r="G92" s="7" t="n">
        <v>40</v>
      </c>
      <c r="H92" s="8">
        <f>E92-G92</f>
        <v/>
      </c>
      <c r="I92" t="inlineStr">
        <is>
          <t>yes</t>
        </is>
      </c>
      <c r="J92" s="5" t="inlineStr">
        <is>
          <t>demand.customer.paid_pilot.cnt + demand.customer.pipeline.cnt * demand.customer.pipeline_to_paid.pct / 100</t>
        </is>
      </c>
    </row>
    <row r="93">
      <c r="A93" s="5" t="inlineStr">
        <is>
          <t>demand.customer.bu_contracted.cnt.mid_pool_inclusive</t>
        </is>
      </c>
      <c r="B93" t="inlineStr">
        <is>
          <t>count</t>
        </is>
      </c>
      <c r="C93">
        <f>demand.customer.conversion_pool.cnt.low * demand.customer.conversion.pct.mid / 100</f>
        <v/>
      </c>
      <c r="D93" t="n">
        <v>0</v>
      </c>
      <c r="E93" s="7">
        <f>ROUND(C93,D93)</f>
        <v/>
      </c>
      <c r="F93">
        <f>IF(full_precision,C93,E93)</f>
        <v/>
      </c>
      <c r="G93" s="7" t="n">
        <v>3</v>
      </c>
      <c r="H93" s="8">
        <f>E93-G93</f>
        <v/>
      </c>
      <c r="I93" t="inlineStr">
        <is>
          <t>yes</t>
        </is>
      </c>
      <c r="J93" s="5" t="inlineStr">
        <is>
          <t>demand.customer.conversion_pool.cnt.low * demand.customer.conversion.pct.mid / 100</t>
        </is>
      </c>
    </row>
    <row r="94">
      <c r="A94" s="5" t="inlineStr">
        <is>
          <t>finance.revenue.arr_case.amt.mid_pool_inclusive</t>
        </is>
      </c>
      <c r="B94" t="inlineStr">
        <is>
          <t>USD M</t>
        </is>
      </c>
      <c r="C94">
        <f>demand.customer.bu_contracted.cnt.mid_pool_inclusive * finance.customer.price.bu_realized.amt.mid / 1000000</f>
        <v/>
      </c>
      <c r="D94" t="n">
        <v>1</v>
      </c>
      <c r="E94" s="7">
        <f>ROUND(C94,D94)</f>
        <v/>
      </c>
      <c r="F94">
        <f>IF(full_precision,C94,E94)</f>
        <v/>
      </c>
      <c r="G94" s="7" t="n">
        <v>0.6</v>
      </c>
      <c r="H94" s="8">
        <f>E94-G94</f>
        <v/>
      </c>
      <c r="I94" t="inlineStr">
        <is>
          <t>yes</t>
        </is>
      </c>
      <c r="J94" s="5" t="inlineStr">
        <is>
          <t>demand.customer.bu_contracted.cnt.mid_pool_inclusive * finance.customer.price.bu_realized.amt.mid / 1000000</t>
        </is>
      </c>
    </row>
    <row r="95">
      <c r="A95" s="5" t="inlineStr">
        <is>
          <t>finance.revenue.arr_case.amt.low</t>
        </is>
      </c>
      <c r="B95" t="inlineStr">
        <is>
          <t>USD M</t>
        </is>
      </c>
      <c r="C95">
        <f>demand.customer.bu_contracted.cnt.low * finance.customer.price.bu_realized.amt.low / 1000000</f>
        <v/>
      </c>
      <c r="D95" t="n">
        <v>2</v>
      </c>
      <c r="E95" s="7">
        <f>ROUND(C95,D95)</f>
        <v/>
      </c>
      <c r="F95">
        <f>IF(full_precision,C95,E95)</f>
        <v/>
      </c>
      <c r="G95" s="7" t="n">
        <v>0.24</v>
      </c>
      <c r="H95" s="8">
        <f>E95-G95</f>
        <v/>
      </c>
      <c r="I95" t="inlineStr">
        <is>
          <t>yes</t>
        </is>
      </c>
      <c r="J95" s="5" t="inlineStr">
        <is>
          <t>demand.customer.bu_contracted.cnt.low * finance.customer.price.bu_realized.amt.low / 1000000</t>
        </is>
      </c>
    </row>
    <row r="96">
      <c r="A96" s="5" t="inlineStr">
        <is>
          <t>finance.revenue.arr_case.amt.mid</t>
        </is>
      </c>
      <c r="B96" t="inlineStr">
        <is>
          <t>USD M</t>
        </is>
      </c>
      <c r="C96">
        <f>demand.customer.bu_contracted.cnt.mid * finance.customer.price.bu_realized.amt.mid / 1000000</f>
        <v/>
      </c>
      <c r="D96" t="n">
        <v>1</v>
      </c>
      <c r="E96" s="7">
        <f>ROUND(C96,D96)</f>
        <v/>
      </c>
      <c r="F96">
        <f>IF(full_precision,C96,E96)</f>
        <v/>
      </c>
      <c r="G96" s="7" t="n">
        <v>1.2</v>
      </c>
      <c r="H96" s="8">
        <f>E96-G96</f>
        <v/>
      </c>
      <c r="I96" t="inlineStr">
        <is>
          <t>yes</t>
        </is>
      </c>
      <c r="J96" s="5" t="inlineStr">
        <is>
          <t>demand.customer.bu_contracted.cnt.mid * finance.customer.price.bu_realized.amt.mid / 1000000</t>
        </is>
      </c>
    </row>
    <row r="97">
      <c r="A97" s="5" t="inlineStr">
        <is>
          <t>finance.revenue.arr_case.amt.high</t>
        </is>
      </c>
      <c r="B97" t="inlineStr">
        <is>
          <t>USD M</t>
        </is>
      </c>
      <c r="C97">
        <f>demand.customer.bu_contracted.cnt.high * finance.customer.price.bu_realized.amt.high / 1000000</f>
        <v/>
      </c>
      <c r="D97" t="n">
        <v>0</v>
      </c>
      <c r="E97" s="7">
        <f>ROUND(C97,D97)</f>
        <v/>
      </c>
      <c r="F97">
        <f>IF(full_precision,C97,E97)</f>
        <v/>
      </c>
      <c r="G97" s="7" t="n">
        <v>3</v>
      </c>
      <c r="H97" s="8">
        <f>E97-G97</f>
        <v/>
      </c>
      <c r="I97" t="inlineStr">
        <is>
          <t>yes</t>
        </is>
      </c>
      <c r="J97" s="5" t="inlineStr">
        <is>
          <t>demand.customer.bu_contracted.cnt.high * finance.customer.price.bu_realized.amt.high / 1000000</t>
        </is>
      </c>
    </row>
    <row r="98">
      <c r="A98" s="5" t="inlineStr">
        <is>
          <t>finance.revenue.plan_over_mid_case.ratio.2027</t>
        </is>
      </c>
      <c r="B98" t="inlineStr">
        <is>
          <t>ratio</t>
        </is>
      </c>
      <c r="C98">
        <f>finance.revenue.arr_plan.amt.2027 / finance.revenue.arr_case.amt.mid</f>
        <v/>
      </c>
      <c r="D98" t="n">
        <v>1</v>
      </c>
      <c r="E98" s="7">
        <f>ROUND(C98,D98)</f>
        <v/>
      </c>
      <c r="F98">
        <f>IF(full_precision,C98,E98)</f>
        <v/>
      </c>
      <c r="G98" s="7" t="n">
        <v>28.3</v>
      </c>
      <c r="H98" s="8">
        <f>E98-G98</f>
        <v/>
      </c>
      <c r="I98" t="inlineStr">
        <is>
          <t>yes</t>
        </is>
      </c>
      <c r="J98" s="5" t="inlineStr">
        <is>
          <t>finance.revenue.arr_plan.amt.2027 / finance.revenue.arr_case.amt.mid</t>
        </is>
      </c>
    </row>
    <row r="99">
      <c r="A99" s="1" t="inlineStr">
        <is>
          <t>The raise, and what it buys</t>
        </is>
      </c>
      <c r="B99" s="2" t="n"/>
      <c r="C99" s="2" t="n"/>
      <c r="D99" s="2" t="n"/>
      <c r="E99" s="2" t="n"/>
      <c r="F99" s="2" t="n"/>
      <c r="G99" s="2" t="n"/>
      <c r="H99" s="2" t="n"/>
      <c r="I99" s="2" t="n"/>
      <c r="J99" s="2" t="n"/>
    </row>
    <row r="100">
      <c r="A100" s="5" t="inlineStr">
        <is>
          <t>finance.revenue.capacity_funded_at_realized_price.amt</t>
        </is>
      </c>
      <c r="B100" t="inlineStr">
        <is>
          <t>USD M</t>
        </is>
      </c>
      <c r="C100">
        <f>ops.team.bu_capacity_funded.cnt * finance.customer.price.bu_realized.amt.mid / 1000000</f>
        <v/>
      </c>
      <c r="D100" t="n">
        <v>2</v>
      </c>
      <c r="E100" s="7">
        <f>ROUND(C100,D100)</f>
        <v/>
      </c>
      <c r="F100">
        <f>IF(full_precision,C100,E100)</f>
        <v/>
      </c>
      <c r="G100" s="7" t="n">
        <v>6.12</v>
      </c>
      <c r="H100" s="8">
        <f>E100-G100</f>
        <v/>
      </c>
      <c r="I100" t="inlineStr">
        <is>
          <t>yes</t>
        </is>
      </c>
      <c r="J100" s="5" t="inlineStr">
        <is>
          <t>ops.team.bu_capacity_funded.cnt * finance.customer.price.bu_realized.amt.mid / 1000000</t>
        </is>
      </c>
    </row>
    <row r="101">
      <c r="A101" s="5" t="inlineStr">
        <is>
          <t>frame.capital.raise_midpoint.amt</t>
        </is>
      </c>
      <c r="B101" t="inlineStr">
        <is>
          <t>USD M</t>
        </is>
      </c>
      <c r="C101">
        <f>(frame.capital.raise_target_low.amt + frame.capital.raise_target_high.amt) / 2</f>
        <v/>
      </c>
      <c r="D101" t="n">
        <v>1</v>
      </c>
      <c r="E101" s="7">
        <f>ROUND(C101,D101)</f>
        <v/>
      </c>
      <c r="F101">
        <f>IF(full_precision,C101,E101)</f>
        <v/>
      </c>
      <c r="G101" s="7" t="n">
        <v>7.5</v>
      </c>
      <c r="H101" s="8">
        <f>E101-G101</f>
        <v/>
      </c>
      <c r="I101" t="inlineStr">
        <is>
          <t>yes</t>
        </is>
      </c>
      <c r="J101" s="5" t="inlineStr">
        <is>
          <t>(frame.capital.raise_target_low.amt + frame.capital.raise_target_high.amt) / 2</t>
        </is>
      </c>
    </row>
    <row r="102">
      <c r="A102" s="5" t="inlineStr">
        <is>
          <t>finance.revenue.arr_gap_to_series_a.amt</t>
        </is>
      </c>
      <c r="B102" t="inlineStr">
        <is>
          <t>USD M</t>
        </is>
      </c>
      <c r="C102">
        <f>market.competitor.series_a_arr_median.amt - finance.revenue.arr_case.amt.mid</f>
        <v/>
      </c>
      <c r="D102" t="n">
        <v>1</v>
      </c>
      <c r="E102" s="7">
        <f>ROUND(C102,D102)</f>
        <v/>
      </c>
      <c r="F102">
        <f>IF(full_precision,C102,E102)</f>
        <v/>
      </c>
      <c r="G102" s="7" t="n">
        <v>1.3</v>
      </c>
      <c r="H102" s="8">
        <f>E102-G102</f>
        <v/>
      </c>
      <c r="I102" t="inlineStr">
        <is>
          <t>yes</t>
        </is>
      </c>
      <c r="J102" s="5" t="inlineStr">
        <is>
          <t>market.competitor.series_a_arr_median.amt - finance.revenue.arr_case.amt.mid</t>
        </is>
      </c>
    </row>
    <row r="103">
      <c r="A103" s="5" t="inlineStr">
        <is>
          <t>finance.revenue.arr_gap_to_series_a_ai.amt</t>
        </is>
      </c>
      <c r="B103" t="inlineStr">
        <is>
          <t>USD M</t>
        </is>
      </c>
      <c r="C103">
        <f>market.competitor.series_a_arr_ai.amt - finance.revenue.arr_case.amt.mid</f>
        <v/>
      </c>
      <c r="D103" t="n">
        <v>1</v>
      </c>
      <c r="E103" s="7">
        <f>ROUND(C103,D103)</f>
        <v/>
      </c>
      <c r="F103">
        <f>IF(full_precision,C103,E103)</f>
        <v/>
      </c>
      <c r="G103" s="7" t="n">
        <v>2.3</v>
      </c>
      <c r="H103" s="8">
        <f>E103-G103</f>
        <v/>
      </c>
      <c r="I103" t="inlineStr">
        <is>
          <t>yes</t>
        </is>
      </c>
      <c r="J103" s="5" t="inlineStr">
        <is>
          <t>market.competitor.series_a_arr_ai.amt - finance.revenue.arr_case.amt.mid</t>
        </is>
      </c>
    </row>
    <row r="104">
      <c r="A104" s="5" t="inlineStr">
        <is>
          <t>demand.customer.bu_contracted.cnt.low_pool_inclusive</t>
        </is>
      </c>
      <c r="B104" t="inlineStr">
        <is>
          <t>count</t>
        </is>
      </c>
      <c r="C104">
        <f>demand.customer.conversion_pool.cnt.low * demand.customer.conversion.pct.low / 100</f>
        <v/>
      </c>
      <c r="D104" t="n">
        <v>0</v>
      </c>
      <c r="E104" s="7">
        <f>ROUND(C104,D104)</f>
        <v/>
      </c>
      <c r="F104">
        <f>IF(full_precision,C104,E104)</f>
        <v/>
      </c>
      <c r="G104" s="7" t="n">
        <v>1</v>
      </c>
      <c r="H104" s="8">
        <f>E104-G104</f>
        <v/>
      </c>
      <c r="I104" t="inlineStr">
        <is>
          <t>yes</t>
        </is>
      </c>
      <c r="J104" s="5" t="inlineStr">
        <is>
          <t>demand.customer.conversion_pool.cnt.low * demand.customer.conversion.pct.low / 100</t>
        </is>
      </c>
    </row>
    <row r="105">
      <c r="A105" s="5" t="inlineStr">
        <is>
          <t>finance.revenue.arr_case.amt.low_pool_inclusive</t>
        </is>
      </c>
      <c r="B105" t="inlineStr">
        <is>
          <t>USD M</t>
        </is>
      </c>
      <c r="C105">
        <f>demand.customer.bu_contracted.cnt.low_pool_inclusive * finance.customer.price.bu_realized.amt.low / 1000000</f>
        <v/>
      </c>
      <c r="D105" t="n">
        <v>2</v>
      </c>
      <c r="E105" s="7">
        <f>ROUND(C105,D105)</f>
        <v/>
      </c>
      <c r="F105">
        <f>IF(full_precision,C105,E105)</f>
        <v/>
      </c>
      <c r="G105" s="7" t="n">
        <v>0.12</v>
      </c>
      <c r="H105" s="8">
        <f>E105-G105</f>
        <v/>
      </c>
      <c r="I105" t="inlineStr">
        <is>
          <t>yes</t>
        </is>
      </c>
      <c r="J105" s="5" t="inlineStr">
        <is>
          <t>demand.customer.bu_contracted.cnt.low_pool_inclusive * finance.customer.price.bu_realized.amt.low / 1000000</t>
        </is>
      </c>
    </row>
    <row r="106">
      <c r="A106" s="5" t="inlineStr">
        <is>
          <t>finance.revenue.arr_gap_to_series_a_ai.amt.worst_case</t>
        </is>
      </c>
      <c r="B106" t="inlineStr">
        <is>
          <t>USD M</t>
        </is>
      </c>
      <c r="C106">
        <f>market.competitor.series_a_arr_ai.amt - finance.revenue.arr_case.amt.low_pool_inclusive</f>
        <v/>
      </c>
      <c r="D106" t="n">
        <v>2</v>
      </c>
      <c r="E106" s="7">
        <f>ROUND(C106,D106)</f>
        <v/>
      </c>
      <c r="F106">
        <f>IF(full_precision,C106,E106)</f>
        <v/>
      </c>
      <c r="G106" s="7" t="n">
        <v>3.38</v>
      </c>
      <c r="H106" s="8">
        <f>E106-G106</f>
        <v/>
      </c>
      <c r="I106" t="inlineStr">
        <is>
          <t>yes</t>
        </is>
      </c>
      <c r="J106" s="5" t="inlineStr">
        <is>
          <t>market.competitor.series_a_arr_ai.amt - finance.revenue.arr_case.amt.low_pool_inclusive</t>
        </is>
      </c>
    </row>
    <row r="107">
      <c r="A107" s="5" t="inlineStr">
        <is>
          <t>finance.revenue.arr_gap_to_series_a_ai.ratio.worst_case</t>
        </is>
      </c>
      <c r="B107" t="inlineStr">
        <is>
          <t>ratio</t>
        </is>
      </c>
      <c r="C107">
        <f>market.competitor.series_a_arr_ai.amt / finance.revenue.arr_case.amt.low_pool_inclusive</f>
        <v/>
      </c>
      <c r="D107" t="n">
        <v>1</v>
      </c>
      <c r="E107" s="7">
        <f>ROUND(C107,D107)</f>
        <v/>
      </c>
      <c r="F107">
        <f>IF(full_precision,C107,E107)</f>
        <v/>
      </c>
      <c r="G107" s="7" t="n">
        <v>29.2</v>
      </c>
      <c r="H107" s="8">
        <f>E107-G107</f>
        <v/>
      </c>
      <c r="I107" t="inlineStr">
        <is>
          <t>yes</t>
        </is>
      </c>
      <c r="J107" s="5" t="inlineStr">
        <is>
          <t>market.competitor.series_a_arr_ai.amt / finance.revenue.arr_case.amt.low_pool_inclusive</t>
        </is>
      </c>
    </row>
    <row r="108">
      <c r="A108" s="5" t="inlineStr">
        <is>
          <t>ops.team.advisor_funded.cnt</t>
        </is>
      </c>
      <c r="B108" t="inlineStr">
        <is>
          <t>count</t>
        </is>
      </c>
      <c r="C108">
        <f>frame.capital.raise_midpoint.amt * 1000000 * strategy.capital.delivery_share.pct / 100 / ops.team.advisor_cost_loaded.amt</f>
        <v/>
      </c>
      <c r="D108" t="n">
        <v>2</v>
      </c>
      <c r="E108" s="7">
        <f>ROUND(C108,D108)</f>
        <v/>
      </c>
      <c r="F108">
        <f>IF(full_precision,C108,E108)</f>
        <v/>
      </c>
      <c r="G108" s="7" t="n">
        <v>11.54</v>
      </c>
      <c r="H108" s="8">
        <f>E108-G108</f>
        <v/>
      </c>
      <c r="I108" t="inlineStr">
        <is>
          <t>yes</t>
        </is>
      </c>
      <c r="J108" s="5" t="inlineStr">
        <is>
          <t>frame.capital.raise_midpoint.amt * 1000000 * strategy.capital.delivery_share.pct / 100 / ops.team.advisor_cost_loaded.amt</t>
        </is>
      </c>
    </row>
    <row r="109">
      <c r="A109" s="5" t="inlineStr">
        <is>
          <t>ops.team.bu_capacity_funded.cnt</t>
        </is>
      </c>
      <c r="B109" t="inlineStr">
        <is>
          <t>count</t>
        </is>
      </c>
      <c r="C109">
        <f>ops.team.advisor_funded.cnt * ops.team.bu_per_advisor.cnt</f>
        <v/>
      </c>
      <c r="D109" t="n">
        <v>2</v>
      </c>
      <c r="E109" s="7">
        <f>ROUND(C109,D109)</f>
        <v/>
      </c>
      <c r="F109">
        <f>IF(full_precision,C109,E109)</f>
        <v/>
      </c>
      <c r="G109" s="7" t="n">
        <v>30.58</v>
      </c>
      <c r="H109" s="8">
        <f>E109-G109</f>
        <v/>
      </c>
      <c r="I109" t="inlineStr">
        <is>
          <t>yes</t>
        </is>
      </c>
      <c r="J109" s="5" t="inlineStr">
        <is>
          <t>ops.team.advisor_funded.cnt * ops.team.bu_per_advisor.cnt</t>
        </is>
      </c>
    </row>
    <row r="110">
      <c r="A110" s="5" t="inlineStr">
        <is>
          <t>finance.revenue.capacity_funded.amt</t>
        </is>
      </c>
      <c r="B110" t="inlineStr">
        <is>
          <t>USD M</t>
        </is>
      </c>
      <c r="C110">
        <f>ops.team.bu_capacity_funded.cnt * finance.customer.price.bu_listed.amt / 1000000</f>
        <v/>
      </c>
      <c r="D110" t="n">
        <v>2</v>
      </c>
      <c r="E110" s="7">
        <f>IF(full_precision,ROUND(C110,D110),7.64)</f>
        <v/>
      </c>
      <c r="F110">
        <f>IF(full_precision,C110,E110)</f>
        <v/>
      </c>
      <c r="G110" s="7" t="n">
        <v>7.64</v>
      </c>
      <c r="H110" s="8">
        <f>E110-G110</f>
        <v/>
      </c>
      <c r="I110" s="9" t="inlineStr">
        <is>
          <t>held to the memo</t>
        </is>
      </c>
      <c r="J110" s="5" t="inlineStr">
        <is>
          <t>ops.team.bu_capacity_funded.cnt * finance.customer.price.bu_listed.amt / 1000000</t>
        </is>
      </c>
    </row>
    <row r="111">
      <c r="A111" s="1" t="inlineStr">
        <is>
          <t>Comparators</t>
        </is>
      </c>
      <c r="B111" s="2" t="n"/>
      <c r="C111" s="2" t="n"/>
      <c r="D111" s="2" t="n"/>
      <c r="E111" s="2" t="n"/>
      <c r="F111" s="2" t="n"/>
      <c r="G111" s="2" t="n"/>
      <c r="H111" s="2" t="n"/>
      <c r="I111" s="2" t="n"/>
      <c r="J111" s="2" t="n"/>
    </row>
    <row r="112">
      <c r="A112" s="5" t="inlineStr">
        <is>
          <t>market.competitor.palantir_revenue_per_head.amt</t>
        </is>
      </c>
      <c r="B112" t="inlineStr">
        <is>
          <t>USD K</t>
        </is>
      </c>
      <c r="C112">
        <f>market.competitor.palantir_revenue.amt * 1000000 / market.competitor.palantir_headcount.cnt / 1000</f>
        <v/>
      </c>
      <c r="D112" t="n">
        <v>0</v>
      </c>
      <c r="E112" s="7">
        <f>ROUND(C112,D112)</f>
        <v/>
      </c>
      <c r="F112">
        <f>IF(full_precision,C112,E112)</f>
        <v/>
      </c>
      <c r="G112" s="7" t="n">
        <v>1137</v>
      </c>
      <c r="H112" s="8">
        <f>E112-G112</f>
        <v/>
      </c>
      <c r="I112" t="inlineStr">
        <is>
          <t>yes</t>
        </is>
      </c>
      <c r="J112" s="5" t="inlineStr">
        <is>
          <t>market.competitor.palantir_revenue.amt * 1000000 / market.competitor.palantir_headcount.cnt / 1000</t>
        </is>
      </c>
    </row>
    <row r="113">
      <c r="A113" s="5" t="inlineStr">
        <is>
          <t>market.competitor.deck_aspiration_revenue_per_head.amt</t>
        </is>
      </c>
      <c r="B113" t="inlineStr">
        <is>
          <t>USD K</t>
        </is>
      </c>
      <c r="C113">
        <f>market.competitor.deck_aspiration_arr.amt * 1000000 / market.competitor.deck_aspiration_headcount.cnt / 1000</f>
        <v/>
      </c>
      <c r="D113" t="n">
        <v>0</v>
      </c>
      <c r="E113" s="7">
        <f>ROUND(C113,D113)</f>
        <v/>
      </c>
      <c r="F113">
        <f>IF(full_precision,C113,E113)</f>
        <v/>
      </c>
      <c r="G113" s="7" t="n">
        <v>10000</v>
      </c>
      <c r="H113" s="8">
        <f>E113-G113</f>
        <v/>
      </c>
      <c r="I113" t="inlineStr">
        <is>
          <t>yes</t>
        </is>
      </c>
      <c r="J113" s="5" t="inlineStr">
        <is>
          <t>market.competitor.deck_aspiration_arr.amt * 1000000 / market.competitor.deck_aspiration_headcount.cnt / 1000</t>
        </is>
      </c>
    </row>
    <row r="114">
      <c r="A114" s="5" t="inlineStr">
        <is>
          <t>market.competitor.aspiration_over_palantir.ratio</t>
        </is>
      </c>
      <c r="B114" t="inlineStr">
        <is>
          <t>ratio</t>
        </is>
      </c>
      <c r="C114">
        <f>market.competitor.deck_aspiration_revenue_per_head.amt / market.competitor.palantir_revenue_per_head.amt</f>
        <v/>
      </c>
      <c r="D114" t="n">
        <v>1</v>
      </c>
      <c r="E114" s="7">
        <f>ROUND(C114,D114)</f>
        <v/>
      </c>
      <c r="F114">
        <f>IF(full_precision,C114,E114)</f>
        <v/>
      </c>
      <c r="G114" s="7" t="n">
        <v>8.800000000000001</v>
      </c>
      <c r="H114" s="8">
        <f>E114-G114</f>
        <v/>
      </c>
      <c r="I114" t="inlineStr">
        <is>
          <t>yes</t>
        </is>
      </c>
      <c r="J114" s="5" t="inlineStr">
        <is>
          <t>market.competitor.deck_aspiration_revenue_per_head.amt / market.competitor.palantir_revenue_per_head.amt</t>
        </is>
      </c>
    </row>
    <row r="115">
      <c r="A115" s="5" t="inlineStr">
        <is>
          <t>finance.team.revenue_per_advisor.amt.2029</t>
        </is>
      </c>
      <c r="B115" t="inlineStr">
        <is>
          <t>USD K</t>
        </is>
      </c>
      <c r="C115">
        <f>finance.revenue.arr_plan.amt.2029 * 1000000 / ops.team.advisor_required.cnt.2029 / 1000</f>
        <v/>
      </c>
      <c r="D115" t="n">
        <v>0</v>
      </c>
      <c r="E115" s="7">
        <f>IF(full_precision,ROUND(C115,D115),662)</f>
        <v/>
      </c>
      <c r="F115">
        <f>IF(full_precision,C115,E115)</f>
        <v/>
      </c>
      <c r="G115" s="7" t="n">
        <v>662</v>
      </c>
      <c r="H115" s="8">
        <f>E115-G115</f>
        <v/>
      </c>
      <c r="I115" s="9" t="inlineStr">
        <is>
          <t>held to the memo</t>
        </is>
      </c>
      <c r="J115" s="5" t="inlineStr">
        <is>
          <t>finance.revenue.arr_plan.amt.2029 * 1000000 / ops.team.advisor_required.cnt.2029 / 1000</t>
        </is>
      </c>
    </row>
    <row r="116">
      <c r="A116" s="1" t="inlineStr">
        <is>
          <t>Other</t>
        </is>
      </c>
      <c r="B116" s="2" t="n"/>
      <c r="C116" s="2" t="n"/>
      <c r="D116" s="2" t="n"/>
      <c r="E116" s="2" t="n"/>
      <c r="F116" s="2" t="n"/>
      <c r="G116" s="2" t="n"/>
      <c r="H116" s="2" t="n"/>
      <c r="I116" s="2" t="n"/>
      <c r="J116" s="2" t="n"/>
    </row>
    <row r="117">
      <c r="A117" s="5" t="inlineStr">
        <is>
          <t>finance.unit.price.spread.ratio</t>
        </is>
      </c>
      <c r="B117" t="inlineStr">
        <is>
          <t>ratio</t>
        </is>
      </c>
      <c r="C117">
        <f>finance.unit.price.initiative_competitive_table.amt / finance.unit.price.initiative_listed.amt</f>
        <v/>
      </c>
      <c r="D117" t="n">
        <v>0</v>
      </c>
      <c r="E117" s="7">
        <f>ROUND(C117,D117)</f>
        <v/>
      </c>
      <c r="F117">
        <f>IF(full_precision,C117,E117)</f>
        <v/>
      </c>
      <c r="G117" s="7" t="n">
        <v>2</v>
      </c>
      <c r="H117" s="8">
        <f>E117-G117</f>
        <v/>
      </c>
      <c r="I117" t="inlineStr">
        <is>
          <t>yes</t>
        </is>
      </c>
      <c r="J117" s="5" t="inlineStr">
        <is>
          <t>finance.unit.price.initiative_competitive_table.amt / finance.unit.price.initiative_listed.amt</t>
        </is>
      </c>
    </row>
    <row r="118">
      <c r="A118" s="5" t="inlineStr">
        <is>
          <t>market.customer.price.tam_over_list.ratio</t>
        </is>
      </c>
      <c r="B118" t="inlineStr">
        <is>
          <t>ratio</t>
        </is>
      </c>
      <c r="C118">
        <f>market.customer.price.bu_tam_basis.amt / finance.customer.price.bu_listed.amt</f>
        <v/>
      </c>
      <c r="D118" t="n">
        <v>0</v>
      </c>
      <c r="E118" s="7">
        <f>ROUND(C118,D118)</f>
        <v/>
      </c>
      <c r="F118">
        <f>IF(full_precision,C118,E118)</f>
        <v/>
      </c>
      <c r="G118" s="7" t="n">
        <v>3</v>
      </c>
      <c r="H118" s="8">
        <f>E118-G118</f>
        <v/>
      </c>
      <c r="I118" t="inlineStr">
        <is>
          <t>yes</t>
        </is>
      </c>
      <c r="J118" s="5" t="inlineStr">
        <is>
          <t>market.customer.price.bu_tam_basis.amt / finance.customer.price.bu_listed.amt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30" customWidth="1" min="1" max="1"/>
    <col width="100" customWidth="1" min="2" max="2"/>
  </cols>
  <sheetData>
    <row r="1">
      <c r="A1" s="11" t="inlineStr">
        <is>
          <t>This workbook</t>
        </is>
      </c>
      <c r="B1" s="12" t="inlineStr"/>
    </row>
    <row r="2">
      <c r="A2" t="inlineStr"/>
      <c r="B2" s="12" t="inlineStr">
        <is>
          <t>Every figure the memo states, as a live cell. Change a shaded input on the Inputs sheet and every formula resting on it moves. Nothing is locked - the shading marks what is meant to move, it does not stop you moving anything else.</t>
        </is>
      </c>
    </row>
    <row r="3">
      <c r="A3" t="inlineStr"/>
      <c r="B3" s="12" t="inlineStr"/>
    </row>
    <row r="4">
      <c r="A4" s="11" t="inlineStr">
        <is>
          <t>Run</t>
        </is>
      </c>
      <c r="B4" s="12" t="inlineStr">
        <is>
          <t>IoI010-5RQN</t>
        </is>
      </c>
    </row>
    <row r="5">
      <c r="A5" s="11" t="inlineStr">
        <is>
          <t>Case</t>
        </is>
      </c>
      <c r="B5" s="12" t="inlineStr">
        <is>
          <t>IoI</t>
        </is>
      </c>
    </row>
    <row r="6">
      <c r="A6" s="11" t="inlineStr">
        <is>
          <t>Model</t>
        </is>
      </c>
      <c r="B6" s="12" t="inlineStr">
        <is>
          <t>claude-opus-5</t>
        </is>
      </c>
    </row>
    <row r="7">
      <c r="A7" s="11" t="inlineStr">
        <is>
          <t>Skill commit</t>
        </is>
      </c>
      <c r="B7" s="12" t="inlineStr">
        <is>
          <t>aac9d5156a7dcff4bcdbee5ab2843c5a1636eeb6 (aac9d51)</t>
        </is>
      </c>
    </row>
    <row r="8">
      <c r="A8" s="11" t="inlineStr">
        <is>
          <t>Run created</t>
        </is>
      </c>
      <c r="B8" s="12" t="inlineStr">
        <is>
          <t>2026-08-05T07:13:35Z</t>
        </is>
      </c>
    </row>
    <row r="9">
      <c r="A9" t="inlineStr"/>
      <c r="B9" s="12" t="inlineStr"/>
    </row>
    <row r="10">
      <c r="A10" s="11" t="inlineStr">
        <is>
          <t>Figures</t>
        </is>
      </c>
      <c r="B10" s="12" t="inlineStr">
        <is>
          <t>195 manifest rows</t>
        </is>
      </c>
    </row>
    <row r="11">
      <c r="A11" t="inlineStr">
        <is>
          <t xml:space="preserve">  you can change</t>
        </is>
      </c>
      <c r="B11" s="12" t="inlineStr">
        <is>
          <t>80 inputs, shaded yellow, of which 1 are judgments - a number the case chose rather than computed, and the likeliest thing worth testing</t>
        </is>
      </c>
    </row>
    <row r="12">
      <c r="A12" t="inlineStr">
        <is>
          <t xml:space="preserve">  recalculate</t>
        </is>
      </c>
      <c r="B12" s="12" t="inlineStr">
        <is>
          <t>102</t>
        </is>
      </c>
    </row>
    <row r="13">
      <c r="A13" t="inlineStr">
        <is>
          <t xml:space="preserve">  do not</t>
        </is>
      </c>
      <c r="B13" s="12" t="inlineStr">
        <is>
          <t>1 - shaded orange, see below</t>
        </is>
      </c>
    </row>
    <row r="14">
      <c r="A14" t="inlineStr">
        <is>
          <t xml:space="preserve">  relations</t>
        </is>
      </c>
      <c r="B14" s="12" t="inlineStr">
        <is>
          <t>12 - not yet in the workbook</t>
        </is>
      </c>
    </row>
    <row r="15">
      <c r="A15" t="inlineStr"/>
      <c r="B15" s="12" t="inlineStr"/>
    </row>
    <row r="16">
      <c r="A16" s="11" t="inlineStr">
        <is>
          <t>Why some figures do not recalculate</t>
        </is>
      </c>
      <c r="B16" s="12" t="inlineStr"/>
    </row>
    <row r="17">
      <c r="A17" t="inlineStr"/>
      <c r="B17" s="12" t="inlineStr">
        <is>
          <t>The Recalculates column says which reason applies to each.</t>
        </is>
      </c>
    </row>
    <row r="18">
      <c r="A18" t="inlineStr"/>
      <c r="B18" s="12" t="inlineStr">
        <is>
          <t>SOLVED FOR, NOT EVALUATED - an IRR, an NPV, a payback flag. These are reached by iteration rather than by arithmetic, so there is no expression to put in the cell and the number stands as the memo published it. Excel computes these natively and a later version will.</t>
        </is>
      </c>
    </row>
    <row r="19">
      <c r="A19" t="inlineStr"/>
      <c r="B19" s="12" t="inlineStr">
        <is>
          <t>THE MEMO DID NOT RECORD ITS FORMULA - the figure is another figure under a second name, and the run wrote down what it depends on instead of the derivation. Nothing here repairs that, because doing so would assert a relationship the memo does not state.</t>
        </is>
      </c>
    </row>
    <row r="20">
      <c r="A20" t="inlineStr"/>
      <c r="B20" s="12" t="inlineStr">
        <is>
          <t>Either way, what the run believes bears on the figure is written out in the Derivation column, which is that row of the memo's figures manifest verbatim.</t>
        </is>
      </c>
    </row>
    <row r="21">
      <c r="A21" t="inlineStr"/>
      <c r="B21" s="12" t="inlineStr"/>
    </row>
    <row r="22">
      <c r="A22" s="11" t="inlineStr">
        <is>
          <t>Precision mode</t>
        </is>
      </c>
      <c r="B22" s="12" t="inlineStr">
        <is>
          <t>Model!B1, at the top of the Model sheet</t>
        </is>
      </c>
    </row>
    <row r="23">
      <c r="A23" s="11" t="inlineStr">
        <is>
          <t>The Model columns</t>
        </is>
      </c>
      <c r="B23" s="12" t="inlineStr">
        <is>
          <t>Unrounded is the calculation, and it reads the Used column of the rows it names. Rounded is that to the decimals the memo prints. Used is what every other row reads, and the only cell the precision mode moves.</t>
        </is>
      </c>
    </row>
    <row r="24">
      <c r="A24" t="inlineStr"/>
      <c r="B24" s="12" t="inlineStr">
        <is>
          <t>AS PUBLISHED (the default) reproduces the memo exactly. The model rounds each figure as it declares it and carries the rounded value into what follows, so the workbook does the same and every figure ties.</t>
        </is>
      </c>
    </row>
    <row r="25">
      <c r="A25" t="inlineStr"/>
      <c r="B25" s="12" t="inlineStr">
        <is>
          <t>FULL PRECISION computes each figure from unrounded inputs. It is the truer arithmetic and it will not match the memo everywhere. The banner at the top of the Model sheet counts how many figures differ, and the hidden Memo and vs memo columns (G:H) say which. Use it to see whether rounding changes anything that matters; quote figures from the memo, not from this mode.</t>
        </is>
      </c>
    </row>
    <row r="26">
      <c r="A26" t="inlineStr"/>
      <c r="B26" s="12" t="inlineStr"/>
    </row>
    <row r="27">
      <c r="A27" s="11" t="inlineStr">
        <is>
          <t>Held to the memo</t>
        </is>
      </c>
      <c r="B27" s="12" t="inlineStr">
        <is>
          <t>4 figure(s). Excel rounds a 15-significant-digit view of a number where the model rounds the exact value, so a few last digits are not reachable by any formula. Those cells hold what the memo printed until you switch to full precision, which is what stops the difference being inherited by every cell below them.</t>
        </is>
      </c>
    </row>
    <row r="28">
      <c r="A28" s="11" t="inlineStr">
        <is>
          <t>Tie-out</t>
        </is>
      </c>
      <c r="B28" s="12" t="inlineStr">
        <is>
          <t>clean - every recalculating figure reproduces the memo</t>
        </is>
      </c>
    </row>
    <row r="29">
      <c r="A29" s="11" t="inlineStr">
        <is>
          <t>Units</t>
        </is>
      </c>
      <c r="B29" s="12" t="inlineStr">
        <is>
          <t>Carried, never converted. Derivations handle scale themselves, so the unit column labels a number and does not transform it.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IoI010-5RQN</dc:creator>
  <dcterms:created xsi:type="dcterms:W3CDTF">2026-08-05T07:13:35Z</dcterms:created>
  <dcterms:modified xsi:type="dcterms:W3CDTF">2026-08-05T07:13:35Z</dcterms:modified>
  <cp:lastModifiedBy>IoI010-5RQN</cp:lastModifiedBy>
</cp:coreProperties>
</file>