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puts" sheetId="1" state="visible" r:id="rId1"/>
    <sheet name="Model" sheetId="2" state="visible" r:id="rId2"/>
    <sheet name="About" sheetId="3" state="visible" r:id="rId3"/>
  </sheets>
  <definedNames>
    <definedName name="full_precision">Model!$B$1</definedName>
    <definedName name="frame.target.revenue.amt.2029">Inputs!$B$5</definedName>
    <definedName name="frame.target.op_margin.pct">Inputs!$B$6</definedName>
    <definedName name="frame.target.irr.pct">Inputs!$B$7</definedName>
    <definedName name="frame.target.payback.dur">Inputs!$B$8</definedName>
    <definedName name="frame.client.revenue.amt.2025">Inputs!$B$9</definedName>
    <definedName name="frame.mna.reference.amt">Inputs!$B$10</definedName>
    <definedName name="frame.entry.year.cnt">Inputs!$B$11</definedName>
    <definedName name="frame.horizon.dur">Inputs!$B$12</definedName>
    <definedName name="frame.target.share_of_client.pct">Model!$F$5</definedName>
    <definedName name="frame.target.op_margin_gap.pct">Model!$F$6</definedName>
    <definedName name="_bench.integer.revenue.amt.2025">Inputs!$B$14</definedName>
    <definedName name="_bench.integer.gross_margin.pct">Inputs!$B$15</definedName>
    <definedName name="_bench.integer.op_margin.pct">Inputs!$B$16</definedName>
    <definedName name="_bench.dexcom.revenue.amt.2025">Inputs!$B$17</definedName>
    <definedName name="_bench.dexcom.gross_margin.pct">Inputs!$B$18</definedName>
    <definedName name="_bench.dexcom.op_margin.pct">Inputs!$B$19</definedName>
    <definedName name="_bench.cirtec.revenue.amt">Inputs!$B$20</definedName>
    <definedName name="_bench.zhending.revenue.amt.2025">Inputs!$B$21</definedName>
    <definedName name="_bench.zhending.gross_profit.amt.2025">Inputs!$B$22</definedName>
    <definedName name="_bench.zhending.op_profit.amt.2025">Inputs!$B$23</definedName>
    <definedName name="_bench.zhending.gross_margin.pct">Model!$F$8</definedName>
    <definedName name="_bench.zhending.op_margin.pct">Model!$F$9</definedName>
    <definedName name="market.cgm.abbott_revenue.amt.2025">Inputs!$B$25</definedName>
    <definedName name="market.cgm.dexcom_revenue.amt.2025">Model!$F$11</definedName>
    <definedName name="market.cgm.other_revenue.amt.2025">Inputs!$B$26</definedName>
    <definedName name="market.cgm.revenue.amt.2025">Model!$F$12</definedName>
    <definedName name="market.cgm.user.cnt.2025">Inputs!$B$27</definedName>
    <definedName name="_market.cgm.sensor_per_user.rate">Inputs!$B$28</definedName>
    <definedName name="market.cgm.sensor.cnt.2025">Model!$F$13</definedName>
    <definedName name="market.cgm.film_electrode.pct">Inputs!$B$29</definedName>
    <definedName name="market.cgm.content_per_sensor.amt">Inputs!$B$30</definedName>
    <definedName name="market.cgm.substrate_pool.amt.2025">Model!$F$14</definedName>
    <definedName name="market.cgm.content_per_module.amt">Inputs!$B$31</definedName>
    <definedName name="market.cgm.module_pool.amt.2025">Model!$F$15</definedName>
    <definedName name="market.cgm.merchant.pct">Inputs!$B$32</definedName>
    <definedName name="market.cgm.reachable_pool.amt.2025">Model!$F$16</definedName>
    <definedName name="_market.growth.cgm.pct">Inputs!$B$33</definedName>
    <definedName name="market.cgm.reachable_pool.amt.2029">Model!$F$17</definedName>
    <definedName name="market.neuro.revenue.amt.2025">Inputs!$B$35</definedName>
    <definedName name="_market.neuro.system_price.amt">Inputs!$B$36</definedName>
    <definedName name="market.neuro.implant.cnt.2025">Model!$F$19</definedName>
    <definedName name="market.neuro.content_per_unit.amt">Inputs!$B$37</definedName>
    <definedName name="market.neuro.electrode_pool.amt.2025">Model!$F$20</definedName>
    <definedName name="market.neuro.merchant.pct">Inputs!$B$38</definedName>
    <definedName name="market.neuro.reachable_pool.amt.2025">Model!$F$21</definedName>
    <definedName name="market.bci.implant.cnt.2025">Inputs!$B$39</definedName>
    <definedName name="market.bci.reachable_pool.amt.2025">Inputs!$B$40</definedName>
    <definedName name="_market.growth.neuro.pct">Inputs!$B$41</definedName>
    <definedName name="market.neuro.reachable_pool.amt.2029">Model!$F$22</definedName>
    <definedName name="market.return_electrode.revenue.amt.2025">Inputs!$B$43</definedName>
    <definedName name="_market.return_electrode.selling_price.amt">Inputs!$B$44</definedName>
    <definedName name="market.return_electrode.unit.cnt.2025">Model!$F$24</definedName>
    <definedName name="market.return_electrode.merchant.pct">Inputs!$B$45</definedName>
    <definedName name="market.return_electrode.reachable_pool.amt.2025">Model!$F$25</definedName>
    <definedName name="market.ecg_electrode.revenue.amt.2026">Inputs!$B$46</definedName>
    <definedName name="_market.ecg_electrode.selling_price.amt">Inputs!$B$47</definedName>
    <definedName name="market.ecg_electrode.unit.cnt.2026">Model!$F$26</definedName>
    <definedName name="market.ecg_electrode.merchant.pct">Inputs!$B$48</definedName>
    <definedName name="market.ecg_electrode.reachable_pool.amt.2026">Model!$F$27</definedName>
    <definedName name="_market.growth.return_electrode.pct">Inputs!$B$49</definedName>
    <definedName name="market.return_electrode.reachable_pool.amt.2029">Model!$F$28</definedName>
    <definedName name="market.ecg_electrode.reachable_pool.amt.2029">Model!$F$29</definedName>
    <definedName name="_strategy.line_a.price.return_electrode.amt">Inputs!$B$50</definedName>
    <definedName name="market.module.injector_revenue.amt.2025">Inputs!$B$52</definedName>
    <definedName name="market.module.injector.unit.cnt.2029">Inputs!$B$53</definedName>
    <definedName name="market.module.injector.content.amt">Inputs!$B$54</definedName>
    <definedName name="market.module.injector.merchant.pct">Inputs!$B$55</definedName>
    <definedName name="market.module.injector.reachable.amt.2029">Model!$F$31</definedName>
    <definedName name="market.module.cartridge.reachable.amt.2029">Inputs!$B$56</definedName>
    <definedName name="market.module.patch.unit.cnt.2029">Inputs!$B$57</definedName>
    <definedName name="market.module.patch.content.amt">Inputs!$B$58</definedName>
    <definedName name="market.module.patch.merchant.pct">Inputs!$B$59</definedName>
    <definedName name="market.module.patch.reachable.amt.2029">Model!$F$32</definedName>
    <definedName name="market.module.pod.merchant.pct">Inputs!$B$60</definedName>
    <definedName name="market.module.pod.unit.cnt.2029">Inputs!$B$61</definedName>
    <definedName name="market.module.pod.content.amt">Inputs!$B$62</definedName>
    <definedName name="market.module.pod.pool.amt.2029">Model!$F$33</definedName>
    <definedName name="market.module.pod.reachable.amt.2029">Model!$F$34</definedName>
    <definedName name="market.module.unit.cnt.2029">Model!$F$35</definedName>
    <definedName name="market.module.pool.amt.2029">Model!$F$36</definedName>
    <definedName name="market.module.reachable_pool.amt.2029">Model!$F$37</definedName>
    <definedName name="market.module.content_weighted.amt">Model!$F$38</definedName>
    <definedName name="market.module.merchant.pct">Model!$F$39</definedName>
    <definedName name="market.module.incumbent_held.pct">Inputs!$B$63</definedName>
    <definedName name="market.module.contestable_pool.amt.2029">Model!$F$40</definedName>
    <definedName name="market.ep.procedure.cnt.2025">Inputs!$B$65</definedName>
    <definedName name="market.ep.content_per_unit.amt">Inputs!$B$66</definedName>
    <definedName name="market.ep.pool.amt.2025">Model!$F$42</definedName>
    <definedName name="market.ep.merchant.pct">Inputs!$B$67</definedName>
    <definedName name="market.ep.reachable_pool.amt.2025">Model!$F$43</definedName>
    <definedName name="_market.growth.ep.pct">Inputs!$B$68</definedName>
    <definedName name="market.ep.reachable_pool.amt.2029">Model!$F$44</definedName>
    <definedName name="market.portfolio.reachable_pool.amt.2029">Model!$F$46</definedName>
    <definedName name="market.portfolio.share_for_target.pct">Model!$F$47</definedName>
    <definedName name="market.portfolio.commodity_pool.amt.2029">Model!$F$48</definedName>
    <definedName name="market.portfolio.commodity_share.pct">Model!$F$49</definedName>
    <definedName name="ops.regulatory.recert.dur">Inputs!$B$70</definedName>
    <definedName name="ops.regulatory.recert.amt">Inputs!$B$71</definedName>
    <definedName name="ops.qualification.dur">Inputs!$B$72</definedName>
    <definedName name="ops.design_in.dur">Inputs!$B$73</definedName>
    <definedName name="ops.implant_clearance.dur">Inputs!$B$74</definedName>
    <definedName name="strategy.line_a.share.pct.return_electrode">Inputs!$B$76</definedName>
    <definedName name="strategy.line_a.share.pct.ecg">Inputs!$B$77</definedName>
    <definedName name="strategy.line_a.share.pct.defib">Inputs!$B$78</definedName>
    <definedName name="strategy.line_a.share.pct.ostomy">Inputs!$B$79</definedName>
    <definedName name="strategy.line_a.revenue.amt.2032.return_electrode">Model!$F$51</definedName>
    <definedName name="strategy.line_a.revenue.amt.2032.ecg">Model!$F$52</definedName>
    <definedName name="strategy.line_a.revenue.amt.2032.defib">Model!$F$53</definedName>
    <definedName name="strategy.line_a.revenue.amt.2032.ostomy">Model!$F$54</definedName>
    <definedName name="strategy.line_a.unit.cnt.2032">Model!$F$55</definedName>
    <definedName name="strategy.line_a1.revenue.amt.2032">Model!$F$56</definedName>
    <definedName name="strategy.line_a2.revenue.amt.2032">Model!$F$57</definedName>
    <definedName name="strategy.line_a.revenue.amt.2032">Model!$F$58</definedName>
    <definedName name="strategy.line_a.revenue.amt.2028">Model!$F$59</definedName>
    <definedName name="strategy.line_a.revenue.amt.2029">Model!$F$60</definedName>
    <definedName name="strategy.line_a.revenue.amt.2030">Model!$F$61</definedName>
    <definedName name="strategy.line_a.revenue.amt.2031">Model!$F$62</definedName>
    <definedName name="strategy.line_a.share_of_pool.pct.2032">Model!$F$63</definedName>
    <definedName name="strategy.line_b.revenue.amt.2028">Inputs!$B$80</definedName>
    <definedName name="strategy.line_b.revenue.amt.2029">Inputs!$B$81</definedName>
    <definedName name="strategy.line_b.share_of_contestable.pct.2032">Inputs!$B$82</definedName>
    <definedName name="strategy.line_b.revenue.amt.2032">Model!$F$64</definedName>
    <definedName name="strategy.line_b.revenue.amt.2030">Model!$F$65</definedName>
    <definedName name="strategy.line_b.revenue.amt.2031">Model!$F$66</definedName>
    <definedName name="strategy.line_c.share_of_pool.pct.2032">Inputs!$B$83</definedName>
    <definedName name="strategy.line_c.revenue.amt.2028">Inputs!$B$84</definedName>
    <definedName name="strategy.line_c.revenue.amt.2029">Inputs!$B$85</definedName>
    <definedName name="strategy.line_c.revenue.amt.2032">Model!$F$67</definedName>
    <definedName name="strategy.line_c.revenue.amt.2030">Model!$F$68</definedName>
    <definedName name="strategy.line_c.revenue.amt.2031">Model!$F$69</definedName>
    <definedName name="finance.revenue.amt.2027">Inputs!$B$86</definedName>
    <definedName name="finance.revenue.amt.2028">Model!$F$70</definedName>
    <definedName name="finance.revenue.amt.2029">Model!$F$71</definedName>
    <definedName name="finance.revenue.amt.2030">Model!$F$72</definedName>
    <definedName name="finance.revenue.amt.2031">Model!$F$73</definedName>
    <definedName name="finance.revenue.amt.2032">Model!$F$74</definedName>
    <definedName name="finance.revenue_gap.amt.2029">Model!$F$75</definedName>
    <definedName name="finance.revenue_attainment.pct.2029">Model!$F$76</definedName>
    <definedName name="finance.target_reached.year.cnt.fast">Inputs!$B$87</definedName>
    <definedName name="finance.target_reached.year.cnt.slow">Inputs!$B$88</definedName>
    <definedName name="finance.target_delay.dur.fast">Model!$F$77</definedName>
    <definedName name="finance.target_delay.dur.slow">Model!$F$78</definedName>
    <definedName name="finance.unit.material.pct">Inputs!$B$90</definedName>
    <definedName name="finance.unit.conversion.pct">Inputs!$B$91</definedName>
    <definedName name="finance.unit.plant.pct">Inputs!$B$92</definedName>
    <definedName name="finance.unit.cogs.pct">Model!$F$80</definedName>
    <definedName name="finance.initiative.gross_margin.pct">Model!$F$81</definedName>
    <definedName name="finance.initiative.op_margin.pct">Model!$F$82</definedName>
    <definedName name="finance.op_margin_gap.pct">Model!$F$83</definedName>
    <definedName name="finance.initiative.op_margin_advantage.pct">Model!$F$84</definedName>
    <definedName name="finance.initiative.gross_margin_advantage.pct">Model!$F$85</definedName>
    <definedName name="finance.initiative.op_margin.pct.ex_line_c">Inputs!$B$93</definedName>
    <definedName name="finance.initiative.variable_opex.pct">Inputs!$B$95</definedName>
    <definedName name="finance.initiative.capex.amt.2027">Inputs!$B$96</definedName>
    <definedName name="finance.initiative.capex.amt.2028">Inputs!$B$97</definedName>
    <definedName name="finance.initiative.capex.amt.2029">Inputs!$B$98</definedName>
    <definedName name="finance.initiative.capex.amt.2030">Inputs!$B$99</definedName>
    <definedName name="finance.initiative.capex.amt.2031">Inputs!$B$100</definedName>
    <definedName name="finance.initiative.capex.amt.2032">Inputs!$B$101</definedName>
    <definedName name="finance.initiative.capex_total.amt">Model!$F$87</definedName>
    <definedName name="_finance.cost_per_head.amt">Inputs!$B$102</definedName>
    <definedName name="finance.initiative.fixed_cost.amt.2027">Inputs!$B$103</definedName>
    <definedName name="finance.initiative.headcount.cnt.2027">Model!$F$88</definedName>
    <definedName name="finance.initiative.fixed_cost.amt.2028">Inputs!$B$104</definedName>
    <definedName name="finance.initiative.headcount.cnt.2028">Model!$F$89</definedName>
    <definedName name="finance.initiative.fixed_cost.amt.2029">Inputs!$B$105</definedName>
    <definedName name="finance.initiative.headcount.cnt.2029">Model!$F$90</definedName>
    <definedName name="finance.initiative.fixed_cost.amt.2030">Inputs!$B$106</definedName>
    <definedName name="finance.initiative.headcount.cnt.2030">Model!$F$91</definedName>
    <definedName name="finance.initiative.fixed_cost.amt.2031">Inputs!$B$107</definedName>
    <definedName name="finance.initiative.headcount.cnt.2031">Model!$F$92</definedName>
    <definedName name="finance.initiative.fixed_cost.amt.2032">Inputs!$B$108</definedName>
    <definedName name="finance.initiative.headcount.cnt.2032">Model!$F$93</definedName>
    <definedName name="finance.initiative.gross_profit.amt.2027">Model!$F$94</definedName>
    <definedName name="finance.initiative.variable_opex.amt.2027">Model!$F$95</definedName>
    <definedName name="finance.initiative.ebit.amt.2027">Model!$F$96</definedName>
    <definedName name="finance.initiative.gross_profit.amt.2028">Model!$F$97</definedName>
    <definedName name="finance.initiative.variable_opex.amt.2028">Model!$F$98</definedName>
    <definedName name="finance.initiative.ebit.amt.2028">Model!$F$99</definedName>
    <definedName name="finance.initiative.gross_profit.amt.2029">Model!$F$100</definedName>
    <definedName name="finance.initiative.variable_opex.amt.2029">Model!$F$101</definedName>
    <definedName name="finance.initiative.ebit.amt.2029">Model!$F$102</definedName>
    <definedName name="finance.initiative.gross_profit.amt.2030">Model!$F$103</definedName>
    <definedName name="finance.initiative.variable_opex.amt.2030">Model!$F$104</definedName>
    <definedName name="finance.initiative.ebit.amt.2030">Model!$F$105</definedName>
    <definedName name="finance.initiative.gross_profit.amt.2031">Model!$F$106</definedName>
    <definedName name="finance.initiative.variable_opex.amt.2031">Model!$F$107</definedName>
    <definedName name="finance.initiative.ebit.amt.2031">Model!$F$108</definedName>
    <definedName name="finance.initiative.gross_profit.amt.2032">Model!$F$109</definedName>
    <definedName name="finance.initiative.variable_opex.amt.2032">Model!$F$110</definedName>
    <definedName name="finance.initiative.ebit.amt.2032">Model!$F$111</definedName>
    <definedName name="_finance.depreciation_life.dur">Inputs!$B$109</definedName>
    <definedName name="finance.initiative.depreciation.amt.2027">Inputs!$B$110</definedName>
    <definedName name="finance.initiative.depreciation.amt.2028">Model!$F$112</definedName>
    <definedName name="finance.initiative.depreciation.amt.2029">Model!$F$113</definedName>
    <definedName name="finance.initiative.depreciation.amt.2030">Model!$F$114</definedName>
    <definedName name="finance.initiative.depreciation.amt.2031">Model!$F$115</definedName>
    <definedName name="finance.initiative.depreciation.amt.2032">Model!$F$116</definedName>
    <definedName name="_finance.working_capital.pct">Inputs!$B$111</definedName>
    <definedName name="finance.initiative.wc.amt.2027">Model!$F$117</definedName>
    <definedName name="finance.initiative.wc.amt.2028">Model!$F$118</definedName>
    <definedName name="finance.initiative.wc.amt.2029">Model!$F$119</definedName>
    <definedName name="finance.initiative.wc.amt.2030">Model!$F$120</definedName>
    <definedName name="finance.initiative.wc.amt.2031">Model!$F$121</definedName>
    <definedName name="finance.initiative.wc.amt.2032">Model!$F$122</definedName>
    <definedName name="finance.initiative.wc_change.amt.2027">Model!$F$123</definedName>
    <definedName name="finance.initiative.fcf.amt.2027">Model!$F$124</definedName>
    <definedName name="finance.initiative.wc_change.amt.2028">Model!$F$125</definedName>
    <definedName name="finance.initiative.fcf.amt.2028">Model!$F$126</definedName>
    <definedName name="finance.initiative.wc_change.amt.2029">Model!$F$127</definedName>
    <definedName name="finance.initiative.fcf.amt.2029">Model!$F$128</definedName>
    <definedName name="finance.initiative.wc_change.amt.2030">Model!$F$129</definedName>
    <definedName name="finance.initiative.fcf.amt.2030">Model!$F$130</definedName>
    <definedName name="finance.initiative.wc_change.amt.2031">Model!$F$131</definedName>
    <definedName name="finance.initiative.fcf.amt.2031">Model!$F$132</definedName>
    <definedName name="finance.initiative.wc_change.amt.2032">Model!$F$133</definedName>
    <definedName name="finance.initiative.fcf.amt.2032">Model!$F$134</definedName>
    <definedName name="finance.initiative.cum_fcf.amt.2027">Model!$F$135</definedName>
    <definedName name="finance.initiative.cum_fcf.amt.2028">Model!$F$136</definedName>
    <definedName name="finance.initiative.cum_fcf.amt.2029">Model!$F$137</definedName>
    <definedName name="finance.initiative.cum_fcf.amt.2030">Model!$F$138</definedName>
    <definedName name="finance.initiative.cum_fcf.amt.2031">Model!$F$139</definedName>
    <definedName name="finance.initiative.cum_fcf.amt.2032">Model!$F$140</definedName>
    <definedName name="finance.initiative.payback_within_horizon.flag">Model!$F$141</definedName>
    <definedName name="finance.initiative.positive_fcf_year.flag">Inputs!$B$112</definedName>
    <definedName name="finance.initiative.peak_funding.amt">Model!$F$142</definedName>
    <definedName name="finance.initiative.ebitda.amt.2032">Model!$F$143</definedName>
    <definedName name="_finance.terminal_multiple.ratio">Inputs!$B$113</definedName>
    <definedName name="_finance.terminal_multiple.ratio.low">Inputs!$B$114</definedName>
    <definedName name="_finance.terminal_multiple.ratio.high">Inputs!$B$115</definedName>
    <definedName name="_finance.terminal_multiple.ratio.industrial">Inputs!$B$116</definedName>
    <definedName name="finance.initiative.terminal_value.amt">Model!$F$144</definedName>
    <definedName name="finance.initiative.terminal_value.amt.low">Model!$F$145</definedName>
    <definedName name="finance.initiative.terminal_value.amt.high">Model!$F$146</definedName>
    <definedName name="finance.initiative.terminal_value.amt.industrial">Model!$F$147</definedName>
    <definedName name="finance.initiative.irr.pct">Model!$F$148</definedName>
    <definedName name="finance.initiative.irr_gap.pct">Model!$F$149</definedName>
    <definedName name="finance.initiative.irr.pct.low">Model!$F$150</definedName>
    <definedName name="finance.initiative.irr.pct.high">Model!$F$151</definedName>
    <definedName name="finance.initiative.irr.pct.industrial">Model!$F$152</definedName>
    <definedName name="_finance.discount_rate.pct">Inputs!$B$117</definedName>
    <definedName name="finance.initiative.npv.amt">Model!$F$153</definedName>
    <definedName name="finance.scenario.revenue.amt.2029.low">Inputs!$B$119</definedName>
    <definedName name="finance.scenario.revenue.amt.2029.base">Model!$F$155</definedName>
    <definedName name="finance.scenario.revenue.amt.2029.high">Inputs!$B$120</definedName>
    <definedName name="finance.scenario.revenue.amt.2032.low">Inputs!$B$121</definedName>
    <definedName name="finance.scenario.revenue.amt.2032.base">Model!$F$156</definedName>
    <definedName name="finance.scenario.revenue.amt.2032.high">Inputs!$B$122</definedName>
    <definedName name="finance.scenario.op_margin.pct.low">Inputs!$B$123</definedName>
    <definedName name="finance.scenario.op_margin.pct.base">Model!$F$157</definedName>
    <definedName name="finance.scenario.op_margin.pct.high">Inputs!$B$124</definedName>
    <definedName name="finance.scenario.revenue_attainment.pct.2029.high">Model!$F$158</definedName>
    <definedName name="finance.scenario.op_margin_gap.pct.high">Model!$F$159</definedName>
    <definedName name="_mna.revenue_multiple.ratio">Inputs!$B$126</definedName>
    <definedName name="mna.reference_target.revenue.amt">Model!$F$161</definedName>
    <definedName name="mna.precision_series_c.amt">Inputs!$B$127</definedName>
    <definedName name="mna.reference_vs_precision.ratio">Model!$F$162</definedName>
    <definedName name="market.defib_pad.revenue.amt.2025">Inputs!$B$129</definedName>
    <definedName name="_market.defib_pad.selling_price.amt">Inputs!$B$130</definedName>
    <definedName name="market.defib_pad.unit.cnt.2025">Model!$F$164</definedName>
    <definedName name="market.defib_pad.merchant.pct">Inputs!$B$131</definedName>
    <definedName name="market.defib_pad.reachable_pool.amt.2025">Model!$F$165</definedName>
    <definedName name="_strategy.line_a.price.ostomy.amt">Inputs!$B$132</definedName>
    <definedName name="_market.ostomy.user.cnt">Inputs!$B$133</definedName>
    <definedName name="_market.ostomy.adoption.pct">Inputs!$B$134</definedName>
    <definedName name="_market.ostomy.replacement.rate">Inputs!$B$135</definedName>
    <definedName name="market.ostomy.unit.cnt.2032">Model!$F$166</definedName>
    <definedName name="market.ostomy.pool.amt.2032">Model!$F$167</definedName>
    <definedName name="market.ostomy.merchant.pct">Inputs!$B$136</definedName>
    <definedName name="market.ostomy.reachable_pool.amt.2032">Model!$F$168</definedName>
    <definedName name="_market.growth.ecg.pct">Inputs!$B$137</definedName>
    <definedName name="_market.growth.ecg_3yr.ratio">Inputs!$B$138</definedName>
    <definedName name="_market.growth.return_4yr.ratio">Inputs!$B$139</definedName>
    <definedName name="_market.growth.neuro_4yr.ratio">Inputs!$B$140</definedName>
    <definedName name="_market.growth.ep_4yr.ratio">Inputs!$B$141</definedName>
    <definedName name="_market.growth.cgm_4yr.ratio">Inputs!$B$142</definedName>
    <definedName name="market.defib_pad.reachable_pool.amt.2029">Model!$F$169</definedName>
    <definedName name="ops.lane_fast.dur">Model!$F$170</definedName>
    <definedName name="ops.lane_module.dur">Model!$F$171</definedName>
    <definedName name="ops.lane_implant.dur">Model!$F$172</definedName>
    <definedName name="ops.lane_fast.first_revenue.cnt">Model!$F$173</definedName>
    <definedName name="ops.lane_module.first_revenue.cnt">Model!$F$174</definedName>
    <definedName name="ops.lane_implant.first_revenue.cnt">Model!$F$175</definedName>
    <definedName name="_strategy.line_a.price.ecg.amt">Inputs!$B$143</definedName>
    <definedName name="_strategy.line_a.price.defib.amt">Inputs!$B$144</definedName>
    <definedName name="_ops.r2r.line_speed.rate">Inputs!$B$145</definedName>
    <definedName name="_ops.r2r.uptime.rate">Inputs!$B$146</definedName>
    <definedName name="_ops.r2r.units_per_m.cnt">Inputs!$B$147</definedName>
    <definedName name="ops.r2r.capacity.cnt.per_line">Model!$F$176</definedName>
    <definedName name="ops.r2r.lines_required.cnt.2032">Model!$F$177</definedName>
    <definedName name="market.line_c.reachable_pool.amt.2029">Model!$F$178</definedName>
    <definedName name="finance.line_a.gross_margin.pct">Inputs!$B$148</definedName>
    <definedName name="finance.line_b.gross_margin.pct">Model!$F$179</definedName>
    <definedName name="finance.line_c.gross_margin.pct">Inputs!$B$149</definedName>
    <definedName name="ops.r2r.lines_required.cnt.2032.high">Model!$F$180</definedName>
    <definedName name="risk.scenario.probability.pct.low">Inputs!$B$150</definedName>
    <definedName name="risk.scenario.probability.pct.base">Inputs!$B$151</definedName>
    <definedName name="risk.scenario.probability.pct.high">Inputs!$B$152</definedName>
    <definedName name="risk.criteria.any_met.probability.pct">Inputs!$B$153</definedName>
    <definedName name="finance.ramp_growth.pct.2029_2032">Inputs!$B$154</definedName>
    <definedName name="finance.ramp_growth.pct.final_year">Inputs!$B$155</definedName>
    <definedName name="sens.op_margin.pct.gross_margin_down_3">Inputs!$B$156</definedName>
    <definedName name="sens.op_margin.pct.gross_margin_up_3">Inputs!$B$157</definedName>
    <definedName name="sens.op_margin.pct.fixed_cost_down_20">Inputs!$B$158</definedName>
    <definedName name="sens.op_margin.pct.fixed_cost_up_20">Inputs!$B$159</definedName>
    <definedName name="sens.funding.amt.capex_up_25">Model!$F$181</definedName>
    <definedName name="sens.funding.amt.working_capital_up_5pts">Model!$F$182</definedName>
    <definedName name="sens.npv.amt.discount_8">Model!$F$183</definedName>
    <definedName name="sens.npv.amt.discount_12">Model!$F$184</definedName>
    <definedName name="sens.npv.amt.industrial_multiple">Model!$F$185</definedName>
    <definedName name="sens.lane_module.dur.plus_6mo">Model!$F$186</definedName>
    <definedName name="sens.portfolio_pool.amt.2029.down_20">Model!$F$187</definedName>
    <definedName name="sens.share_for_target.pct.pool_down_20">Model!$F$188</definedName>
    <definedName name="sens.line_b.revenue.amt.2032.share_40">Model!$F$189</definedName>
    <definedName name="sens.line_b.revenue.amt.2032.share_70">Model!$F$190</definedName>
    <definedName name="sens.ecg_merchant.pool.amt.2029.at_10pct">Model!$F$191</definedName>
  </definedNames>
  <calcPr calcId="124519" fullCalcOnLoad="1"/>
</workbook>
</file>

<file path=xl/styles.xml><?xml version="1.0" encoding="utf-8"?>
<styleSheet xmlns="http://schemas.openxmlformats.org/spreadsheetml/2006/main">
  <numFmts count="2">
    <numFmt numFmtId="164" formatCode="#,##0.??"/>
    <numFmt numFmtId="165" formatCode="#,##0.######"/>
  </numFmts>
  <fonts count="4">
    <font>
      <name val="Calibri"/>
      <family val="2"/>
      <color theme="1"/>
      <sz val="11"/>
      <scheme val="minor"/>
    </font>
    <font>
      <b val="1"/>
    </font>
    <font>
      <b val="1"/>
      <color rgb="00FFFFFF"/>
    </font>
    <font>
      <name val="Menlo"/>
      <sz val="10"/>
    </font>
  </fonts>
  <fills count="6">
    <fill>
      <patternFill/>
    </fill>
    <fill>
      <patternFill patternType="gray125"/>
    </fill>
    <fill>
      <patternFill patternType="solid">
        <fgColor rgb="00FFF2CC"/>
      </patternFill>
    </fill>
    <fill>
      <patternFill patternType="solid">
        <fgColor rgb="00D9E2F3"/>
      </patternFill>
    </fill>
    <fill>
      <patternFill patternType="solid">
        <fgColor rgb="001F3864"/>
      </patternFill>
    </fill>
    <fill>
      <patternFill patternType="solid">
        <fgColor rgb="00FBE4D5"/>
      </patternFill>
    </fill>
  </fills>
  <borders count="1">
    <border>
      <left/>
      <right/>
      <top/>
      <bottom/>
      <diagonal/>
    </border>
  </borders>
  <cellStyleXfs count="1">
    <xf numFmtId="0" fontId="0" fillId="0" borderId="0"/>
  </cellStyleXfs>
  <cellXfs count="13">
    <xf numFmtId="0" fontId="0" fillId="0" borderId="0" pivotButton="0" quotePrefix="0" xfId="0"/>
    <xf numFmtId="0" fontId="1" fillId="3" borderId="0" pivotButton="0" quotePrefix="0" xfId="0"/>
    <xf numFmtId="0" fontId="0" fillId="3" borderId="0" pivotButton="0" quotePrefix="0" xfId="0"/>
    <xf numFmtId="0" fontId="2" fillId="4" borderId="0" pivotButton="0" quotePrefix="0" xfId="0"/>
    <xf numFmtId="0" fontId="2" fillId="4" borderId="0" applyAlignment="1" pivotButton="0" quotePrefix="0" xfId="0">
      <alignment horizontal="right"/>
    </xf>
    <xf numFmtId="0" fontId="3" fillId="0" borderId="0" pivotButton="0" quotePrefix="0" xfId="0"/>
    <xf numFmtId="164" fontId="0" fillId="2" borderId="0" pivotButton="0" quotePrefix="0" xfId="0"/>
    <xf numFmtId="164" fontId="0" fillId="0" borderId="0" pivotButton="0" quotePrefix="0" xfId="0"/>
    <xf numFmtId="165" fontId="0" fillId="0" borderId="0" pivotButton="0" quotePrefix="0" xfId="0"/>
    <xf numFmtId="0" fontId="0" fillId="5" borderId="0" pivotButton="0" quotePrefix="0" xfId="0"/>
    <xf numFmtId="164" fontId="0" fillId="5"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59"/>
  <sheetViews>
    <sheetView workbookViewId="0">
      <pane ySplit="3" topLeftCell="A4" activePane="bottomLeft" state="frozen"/>
      <selection pane="bottomLeft" activeCell="A1" sqref="A1"/>
    </sheetView>
  </sheetViews>
  <sheetFormatPr baseColWidth="8" defaultRowHeight="15"/>
  <cols>
    <col width="46" customWidth="1" min="1" max="1"/>
    <col width="14" customWidth="1" min="2" max="2"/>
    <col width="12" customWidth="1" min="3" max="3"/>
    <col width="110" customWidth="1" min="4" max="4"/>
  </cols>
  <sheetData>
    <row r="1">
      <c r="A1" s="1">
        <f>IF(full_precision,"FULL PRECISION - figures may differ from the memo","AS PUBLISHED - every figure matches the memo")</f>
        <v/>
      </c>
      <c r="B1" s="2" t="n"/>
      <c r="C1" s="2" t="n"/>
      <c r="D1" s="2" t="n"/>
    </row>
    <row r="3">
      <c r="A3" s="3" t="inlineStr">
        <is>
          <t>Key</t>
        </is>
      </c>
      <c r="B3" s="4" t="inlineStr">
        <is>
          <t>Value</t>
        </is>
      </c>
      <c r="C3" s="3" t="inlineStr">
        <is>
          <t>Unit</t>
        </is>
      </c>
      <c r="D3" s="3" t="inlineStr">
        <is>
          <t>Source / derivation</t>
        </is>
      </c>
    </row>
    <row r="4">
      <c r="A4" s="1" t="inlineStr">
        <is>
          <t>The bars the brief sets</t>
        </is>
      </c>
      <c r="B4" s="2" t="n"/>
      <c r="C4" s="2" t="n"/>
      <c r="D4" s="2" t="n"/>
    </row>
    <row r="5">
      <c r="A5" s="5" t="inlineStr">
        <is>
          <t>frame.target.revenue.amt.2029</t>
        </is>
      </c>
      <c r="B5" s="6" t="n">
        <v>350</v>
      </c>
      <c r="C5" t="inlineStr">
        <is>
          <t>USD M</t>
        </is>
      </c>
      <c r="D5" t="inlineStr">
        <is>
          <t>source=brief section 4, '$350M annual revenue by Year 3 post-entry'</t>
        </is>
      </c>
    </row>
    <row r="6">
      <c r="A6" s="5" t="inlineStr">
        <is>
          <t>frame.target.op_margin.pct</t>
        </is>
      </c>
      <c r="B6" s="6" t="n">
        <v>30</v>
      </c>
      <c r="C6" t="inlineStr">
        <is>
          <t>pct</t>
        </is>
      </c>
      <c r="D6" t="inlineStr">
        <is>
          <t>source=brief section 4, 'Operating margin above 30%'</t>
        </is>
      </c>
    </row>
    <row r="7">
      <c r="A7" s="5" t="inlineStr">
        <is>
          <t>frame.target.irr.pct</t>
        </is>
      </c>
      <c r="B7" s="6" t="n">
        <v>20</v>
      </c>
      <c r="C7" t="inlineStr">
        <is>
          <t>pct</t>
        </is>
      </c>
      <c r="D7" t="inlineStr">
        <is>
          <t>source=brief section 4, 'IRR greater than 20%'</t>
        </is>
      </c>
    </row>
    <row r="8">
      <c r="A8" s="5" t="inlineStr">
        <is>
          <t>frame.target.payback.dur</t>
        </is>
      </c>
      <c r="B8" s="6" t="n">
        <v>3</v>
      </c>
      <c r="C8" t="inlineStr">
        <is>
          <t>years</t>
        </is>
      </c>
      <c r="D8" t="inlineStr">
        <is>
          <t>source=brief section 4, 'Payback period within three years'</t>
        </is>
      </c>
    </row>
    <row r="9">
      <c r="A9" s="5" t="inlineStr">
        <is>
          <t>frame.client.revenue.amt.2025</t>
        </is>
      </c>
      <c r="B9" s="6" t="n">
        <v>6000</v>
      </c>
      <c r="C9" t="inlineStr">
        <is>
          <t>USD M</t>
        </is>
      </c>
      <c r="D9" t="inlineStr">
        <is>
          <t>source=brief section 1, 'approximately $6B revenue company'</t>
        </is>
      </c>
    </row>
    <row r="10">
      <c r="A10" s="5" t="inlineStr">
        <is>
          <t>frame.mna.reference.amt</t>
        </is>
      </c>
      <c r="B10" s="6" t="n">
        <v>35</v>
      </c>
      <c r="C10" t="inlineStr">
        <is>
          <t>USD M</t>
        </is>
      </c>
      <c r="D10" t="inlineStr">
        <is>
          <t>source=brief section 1, 'investment of approximately USD 35 million, providing a reference scale'</t>
        </is>
      </c>
    </row>
    <row r="11">
      <c r="A11" s="5" t="inlineStr">
        <is>
          <t>frame.entry.year.cnt</t>
        </is>
      </c>
      <c r="B11" s="6" t="n">
        <v>2027</v>
      </c>
      <c r="C11" t="inlineStr">
        <is>
          <t>year</t>
        </is>
      </c>
      <c r="D11" t="inlineStr">
        <is>
          <t>source=Meridian010-5RQN_00_questions_assumptions.md section 3.1, 'entry begins 1 January 2027'</t>
        </is>
      </c>
    </row>
    <row r="12">
      <c r="A12" s="5" t="inlineStr">
        <is>
          <t>frame.horizon.dur</t>
        </is>
      </c>
      <c r="B12" s="6" t="n">
        <v>6</v>
      </c>
      <c r="C12" t="inlineStr">
        <is>
          <t>years</t>
        </is>
      </c>
      <c r="D12" t="inlineStr">
        <is>
          <t>source=brief section 6, 'Six years total'</t>
        </is>
      </c>
    </row>
    <row r="13">
      <c r="A13" s="1" t="inlineStr">
        <is>
          <t>Industry benchmarks</t>
        </is>
      </c>
      <c r="B13" s="2" t="n"/>
      <c r="C13" s="2" t="n"/>
      <c r="D13" s="2" t="n"/>
    </row>
    <row r="14">
      <c r="A14" s="5" t="inlineStr">
        <is>
          <t>_bench.integer.revenue.amt.2025</t>
        </is>
      </c>
      <c r="B14" s="6" t="n">
        <v>1853.6</v>
      </c>
      <c r="C14" t="inlineStr">
        <is>
          <t>USD M</t>
        </is>
      </c>
      <c r="D14" t="inlineStr">
        <is>
          <t>source=https://investor.integer.net/news-events/press-releases/news-details/2026/Integer-Holdings-Corporation-Reports-Results-for-Fourth-Quarter-and-Full-Year-2025/default.aspx</t>
        </is>
      </c>
    </row>
    <row r="15">
      <c r="A15" s="5" t="inlineStr">
        <is>
          <t>_bench.integer.gross_margin.pct</t>
        </is>
      </c>
      <c r="B15" s="6" t="n">
        <v>27</v>
      </c>
      <c r="C15" t="inlineStr">
        <is>
          <t>pct</t>
        </is>
      </c>
      <c r="D15" t="inlineStr">
        <is>
          <t>source=https://investor.integer.net/news-events/press-releases/news-details/2026/Integer-Holdings-Corporation-Reports-Results-for-Fourth-Quarter-and-Full-Year-2025/default.aspx , gross profit $500.386M on sales $1,853.637M</t>
        </is>
      </c>
    </row>
    <row r="16">
      <c r="A16" s="5" t="inlineStr">
        <is>
          <t>_bench.integer.op_margin.pct</t>
        </is>
      </c>
      <c r="B16" s="6" t="n">
        <v>11.9</v>
      </c>
      <c r="C16" t="inlineStr">
        <is>
          <t>pct</t>
        </is>
      </c>
      <c r="D16" t="inlineStr">
        <is>
          <t>source=https://investor.integer.net/news-events/press-releases/news-details/2026/Integer-Holdings-Corporation-Reports-Results-for-Fourth-Quarter-and-Full-Year-2025/default.aspx , operating income $221.264M on sales $1,853.637M</t>
        </is>
      </c>
    </row>
    <row r="17">
      <c r="A17" s="5" t="inlineStr">
        <is>
          <t>_bench.dexcom.revenue.amt.2025</t>
        </is>
      </c>
      <c r="B17" s="6" t="n">
        <v>4662</v>
      </c>
      <c r="C17" t="inlineStr">
        <is>
          <t>USD M</t>
        </is>
      </c>
      <c r="D17" t="inlineStr">
        <is>
          <t>source=https://investors.dexcom.com/news/news-details/2026/Dexcom-Reports-Fourth-Quarter-and-Fiscal-Year-2025-Financial-Results/default.aspx</t>
        </is>
      </c>
    </row>
    <row r="18">
      <c r="A18" s="5" t="inlineStr">
        <is>
          <t>_bench.dexcom.gross_margin.pct</t>
        </is>
      </c>
      <c r="B18" s="6" t="n">
        <v>60.1</v>
      </c>
      <c r="C18" t="inlineStr">
        <is>
          <t>pct</t>
        </is>
      </c>
      <c r="D18" t="inlineStr">
        <is>
          <t>source=https://investors.dexcom.com/news/news-details/2026/Dexcom-Reports-Fourth-Quarter-and-Fiscal-Year-2025-Financial-Results/default.aspx , GAAP gross profit 60.1% of revenue</t>
        </is>
      </c>
    </row>
    <row r="19">
      <c r="A19" s="5" t="inlineStr">
        <is>
          <t>_bench.dexcom.op_margin.pct</t>
        </is>
      </c>
      <c r="B19" s="6" t="n">
        <v>19.6</v>
      </c>
      <c r="C19" t="inlineStr">
        <is>
          <t>pct</t>
        </is>
      </c>
      <c r="D19" t="inlineStr">
        <is>
          <t>source=https://investors.dexcom.com/news/news-details/2026/Dexcom-Reports-Fourth-Quarter-and-Fiscal-Year-2025-Financial-Results/default.aspx , GAAP operating margin 19.6% of revenue</t>
        </is>
      </c>
    </row>
    <row r="20">
      <c r="A20" s="5" t="inlineStr">
        <is>
          <t>_bench.cirtec.revenue.amt</t>
        </is>
      </c>
      <c r="B20" s="6" t="n">
        <v>248.7</v>
      </c>
      <c r="C20" t="inlineStr">
        <is>
          <t>USD M</t>
        </is>
      </c>
      <c r="D20" t="inlineStr">
        <is>
          <t>source=https://www.cbinsights.com/company/cirtec-medical, Cirtec Medical revenue; the closest direct competitor by capability</t>
        </is>
      </c>
    </row>
    <row r="21">
      <c r="A21" s="5" t="inlineStr">
        <is>
          <t>_bench.zhending.revenue.amt.2025</t>
        </is>
      </c>
      <c r="B21" s="6" t="n">
        <v>182.5</v>
      </c>
      <c r="C21" t="inlineStr">
        <is>
          <t>NT$ bn</t>
        </is>
      </c>
      <c r="D21" t="inlineStr">
        <is>
          <t>source=https://www.tradingview.com/news/urn:summary_document_slides:quartr.com:3056638:0-zhen-ding-technology-holding-record-2025-revenue-and-margin-gains-set-the-stage-for-accelerated-ai-driven-growth-in-2026/ , 'NT$182.5 billion, up 6.3% year-over-year', full year 2025</t>
        </is>
      </c>
    </row>
    <row r="22">
      <c r="A22" s="5" t="inlineStr">
        <is>
          <t>_bench.zhending.gross_profit.amt.2025</t>
        </is>
      </c>
      <c r="B22" s="6" t="n">
        <v>36.1</v>
      </c>
      <c r="C22" t="inlineStr">
        <is>
          <t>NT$ bn</t>
        </is>
      </c>
      <c r="D22" t="inlineStr">
        <is>
          <t>source=https://www.tradingview.com/news/urn:summary_document_slides:quartr.com:3056638:0-zhen-ding-technology-holding-record-2025-revenue-and-margin-gains-set-the-stage-for-accelerated-ai-driven-growth-in-2026/ , 'Gross profit rose 11.3% year-over-year to NT$36.1 billion'</t>
        </is>
      </c>
    </row>
    <row r="23">
      <c r="A23" s="5" t="inlineStr">
        <is>
          <t>_bench.zhending.op_profit.amt.2025</t>
        </is>
      </c>
      <c r="B23" s="6" t="n">
        <v>13.9</v>
      </c>
      <c r="C23" t="inlineStr">
        <is>
          <t>NT$ bn</t>
        </is>
      </c>
      <c r="D23" t="inlineStr">
        <is>
          <t>source=https://www.tradingview.com/news/urn:summary_document_slides:quartr.com:3056638:0-zhen-ding-technology-holding-record-2025-revenue-and-margin-gains-set-the-stage-for-accelerated-ai-driven-growth-in-2026/ , 'Operating profit grew 20.2% year-over-year to NT$13.9 billion'</t>
        </is>
      </c>
    </row>
    <row r="24">
      <c r="A24" s="1" t="inlineStr">
        <is>
          <t>Continuous glucose monitoring</t>
        </is>
      </c>
      <c r="B24" s="2" t="n"/>
      <c r="C24" s="2" t="n"/>
      <c r="D24" s="2" t="n"/>
    </row>
    <row r="25">
      <c r="A25" s="5" t="inlineStr">
        <is>
          <t>market.cgm.abbott_revenue.amt.2025</t>
        </is>
      </c>
      <c r="B25" s="6" t="n">
        <v>7500</v>
      </c>
      <c r="C25" t="inlineStr">
        <is>
          <t>USD M</t>
        </is>
      </c>
      <c r="D25" t="inlineStr">
        <is>
          <t>source=Abbott FY2025 release, Diabetes Care sales $7.998B of which CGM is 93.8% (Q4: CGM $2.0B of Diabetes Care $2.133B); https://abbott.mediaroom.com/2026-01-22-Abbott-Reports-Fourth-Quarter-and-Full-Year-2025-Results-Issues-2026-Financial-Outlook</t>
        </is>
      </c>
    </row>
    <row r="26">
      <c r="A26" s="5" t="inlineStr">
        <is>
          <t>market.cgm.other_revenue.amt.2025</t>
        </is>
      </c>
      <c r="B26" s="6" t="n">
        <v>1500</v>
      </c>
      <c r="C26" t="inlineStr">
        <is>
          <t>USD M</t>
        </is>
      </c>
      <c r="D26" t="inlineStr">
        <is>
          <t>source=estimate for Medtronic diabetes, Senseonics and the Chinese entrants; https://www.mordorintelligence.com/industry-reports/china-continuous-glucose-monitoring-devices-market</t>
        </is>
      </c>
    </row>
    <row r="27">
      <c r="A27" s="5" t="inlineStr">
        <is>
          <t>market.cgm.user.cnt.2025</t>
        </is>
      </c>
      <c r="B27" s="6" t="n">
        <v>10</v>
      </c>
      <c r="C27" t="inlineStr">
        <is>
          <t>M people</t>
        </is>
      </c>
      <c r="D27" t="inlineStr">
        <is>
          <t>source=Abbott earnings commentary, 'just about 10 million CGM users worldwide out of more than 500 million people with diabetes'</t>
        </is>
      </c>
    </row>
    <row r="28">
      <c r="A28" s="5" t="inlineStr">
        <is>
          <t>_market.cgm.sensor_per_user.rate</t>
        </is>
      </c>
      <c r="B28" s="6" t="n">
        <v>27</v>
      </c>
      <c r="C28" t="inlineStr">
        <is>
          <t>sensors/yr</t>
        </is>
      </c>
      <c r="D28" t="inlineStr">
        <is>
          <t>source=derived from wear duration, Abbott Libre 14-day and Dexcom G7 10-to-15-day, blended by user share; https://www.goodrx.com/dexcom-g7-15-day</t>
        </is>
      </c>
    </row>
    <row r="29">
      <c r="A29" s="5" t="inlineStr">
        <is>
          <t>market.cgm.film_electrode.pct</t>
        </is>
      </c>
      <c r="B29" s="6" t="n">
        <v>68</v>
      </c>
      <c r="C29" t="inlineStr">
        <is>
          <t>pct</t>
        </is>
      </c>
      <c r="D29" t="inlineStr">
        <is>
          <t>source=https://arxiv.org/pdf/2310.11063 section 10, 'a platinum or platinum iridium wire is patterned with insulating polymers' (Dexcom) against 'a carrier substrate covered with polyimide is employed as the electrode foundation' (Medtronic); Abbott plus Medtronic share of users</t>
        </is>
      </c>
    </row>
    <row r="30">
      <c r="A30" s="5" t="inlineStr">
        <is>
          <t>market.cgm.content_per_sensor.amt</t>
        </is>
      </c>
      <c r="B30" s="6" t="n">
        <v>0.5</v>
      </c>
      <c r="C30" t="inlineStr">
        <is>
          <t>USD</t>
        </is>
      </c>
      <c r="D30" t="inlineStr">
        <is>
          <t>source=estimate benchmarked against the $2-12 medical printed circuit range in https://www.imarcgroup.com/flexible-printed-circuits-manufacturing-plant-project-report , set well below it because this is a printed electrode rather than a multilayer circuit.</t>
        </is>
      </c>
    </row>
    <row r="31">
      <c r="A31" s="5" t="inlineStr">
        <is>
          <t>market.cgm.content_per_module.amt</t>
        </is>
      </c>
      <c r="B31" s="6" t="n">
        <v>4</v>
      </c>
      <c r="C31" t="inlineStr">
        <is>
          <t>USD</t>
        </is>
      </c>
      <c r="D31" t="inlineStr">
        <is>
          <t>source=estimate; flex circuit, bonded Bluetooth SoC, battery and passives for a fully disposable sensor-transmitter, from the component set in https://www.digikey.com/en/maker/blogs/2025/dexcom-g7-vs-freestyle-libre-3-a-cgm-teardown , priced at the upper half of the $2-12 medical circuit range</t>
        </is>
      </c>
    </row>
    <row r="32">
      <c r="A32" s="5" t="inlineStr">
        <is>
          <t>market.cgm.merchant.pct</t>
        </is>
      </c>
      <c r="B32" s="6" t="n">
        <v>5</v>
      </c>
      <c r="C32" t="inlineStr">
        <is>
          <t>pct</t>
        </is>
      </c>
      <c r="D32" t="inlineStr">
        <is>
          <t>source=estimate; every scaled CGM maker manufactures its own sensor and the Chinese entrants are vertically integrated, 'by optimizing supply chains and mass-producing sensors'; https://www.sibionicscgm.com/blogs/scientific-glucose-control/how-sibionics-and-chinese-cgm-manufacturers-are-disrupting-the-european-and-american-markets .</t>
        </is>
      </c>
    </row>
    <row r="33">
      <c r="A33" s="5" t="inlineStr">
        <is>
          <t>_market.growth.cgm.pct</t>
        </is>
      </c>
      <c r="B33" s="6" t="n">
        <v>13</v>
      </c>
      <c r="C33" t="inlineStr">
        <is>
          <t>pct/yr</t>
        </is>
      </c>
      <c r="D33" t="inlineStr">
        <is>
          <t>source=derived from reported results, Dexcom +16% and Abbott Diabetes Care +17.5% in 2025, taken down for the larger base by 2029</t>
        </is>
      </c>
    </row>
    <row r="34">
      <c r="A34" s="1" t="inlineStr">
        <is>
          <t>Neurostimulation and BCI</t>
        </is>
      </c>
      <c r="B34" s="2" t="n"/>
      <c r="C34" s="2" t="n"/>
      <c r="D34" s="2" t="n"/>
    </row>
    <row r="35">
      <c r="A35" s="5" t="inlineStr">
        <is>
          <t>market.neuro.revenue.amt.2025</t>
        </is>
      </c>
      <c r="B35" s="6" t="n">
        <v>5600</v>
      </c>
      <c r="C35" t="inlineStr">
        <is>
          <t>USD M</t>
        </is>
      </c>
      <c r="D35" t="inlineStr">
        <is>
          <t>source=https://www.sec.gov/Archives/edgar/data/885725/000088572525000050/bsx-20250930.htm Boston Scientific Neuromodulation $866M for nine months 2025, annualized to $1,155M; Medtronic Neuromodulation $476M in Q3 FY25 annualized to $1,900M; Abbott about $1,050M; Nevro $408M FY2024; Inspire and LivaNova about $1,100M combined</t>
        </is>
      </c>
    </row>
    <row r="36">
      <c r="A36" s="5" t="inlineStr">
        <is>
          <t>_market.neuro.system_price.amt</t>
        </is>
      </c>
      <c r="B36" s="6" t="n">
        <v>20000</v>
      </c>
      <c r="C36" t="inlineStr">
        <is>
          <t>USD</t>
        </is>
      </c>
      <c r="D36" t="inlineStr">
        <is>
          <t>source=estimate; an average neurostimulation system price across spinal cord, deep brain and sacral stimulation, against the $15,000-30,000 range recorded in scratch/ideator-candidates.md row 2</t>
        </is>
      </c>
    </row>
    <row r="37">
      <c r="A37" s="5" t="inlineStr">
        <is>
          <t>market.neuro.content_per_unit.amt</t>
        </is>
      </c>
      <c r="B37" s="6" t="n">
        <v>180</v>
      </c>
      <c r="C37" t="inlineStr">
        <is>
          <t>USD</t>
        </is>
      </c>
      <c r="D37" t="inlineStr">
        <is>
          <t>source=estimate; a thin-film electrode array and lead assembly as a supplier price, against Cirtec thin-film circuits for neuromodulation leads; https://www.cirtecmed.com/capabilities/thin-film-flexible-circuits</t>
        </is>
      </c>
    </row>
    <row r="38">
      <c r="A38" s="5" t="inlineStr">
        <is>
          <t>market.neuro.merchant.pct</t>
        </is>
      </c>
      <c r="B38" s="6" t="n">
        <v>30</v>
      </c>
      <c r="C38" t="inlineStr">
        <is>
          <t>pct</t>
        </is>
      </c>
      <c r="D38" t="inlineStr">
        <is>
          <t>source=estimate; lead and electrode manufacture is the step most often outsourced in neuromodulation, per https://www.cirtecmed.com/capabilities/thin-film-flexible-circuits , but the four majors retain in-house capacity</t>
        </is>
      </c>
    </row>
    <row r="39">
      <c r="A39" s="5" t="inlineStr">
        <is>
          <t>market.bci.implant.cnt.2025</t>
        </is>
      </c>
      <c r="B39" s="6" t="n">
        <v>42</v>
      </c>
      <c r="C39" t="inlineStr">
        <is>
          <t>units</t>
        </is>
      </c>
      <c r="D39" t="inlineStr">
        <is>
          <t>source=https://www.technologyreview.com/2024/04/19/1091505/companies-brain-computer-interfaces/ , count of people worldwide who have received a BCI implant across all programs</t>
        </is>
      </c>
    </row>
    <row r="40">
      <c r="A40" s="5" t="inlineStr">
        <is>
          <t>market.bci.reachable_pool.amt.2025</t>
        </is>
      </c>
      <c r="B40" s="6" t="n">
        <v>0</v>
      </c>
      <c r="C40" t="inlineStr">
        <is>
          <t>USD M</t>
        </is>
      </c>
      <c r="D40" t="inlineStr">
        <is>
          <t>depends_on=market.bci.implant.cnt.2025</t>
        </is>
      </c>
    </row>
    <row r="41">
      <c r="A41" s="5" t="inlineStr">
        <is>
          <t>_market.growth.neuro.pct</t>
        </is>
      </c>
      <c r="B41" s="6" t="n">
        <v>10</v>
      </c>
      <c r="C41" t="inlineStr">
        <is>
          <t>pct/yr</t>
        </is>
      </c>
      <c r="D41" t="inlineStr">
        <is>
          <t>source=https://www.gminsights.com/industry-analysis/neurostimulation-devices-market-report , 12.1% CAGR taken down to 10% because the reported segment growth of the four majors runs 5.5% to 11%</t>
        </is>
      </c>
    </row>
    <row r="42">
      <c r="A42" s="1" t="inlineStr">
        <is>
          <t>The printed-electrode businesses</t>
        </is>
      </c>
      <c r="B42" s="2" t="n"/>
      <c r="C42" s="2" t="n"/>
      <c r="D42" s="2" t="n"/>
    </row>
    <row r="43">
      <c r="A43" s="5" t="inlineStr">
        <is>
          <t>market.return_electrode.revenue.amt.2025</t>
        </is>
      </c>
      <c r="B43" s="6" t="n">
        <v>1500</v>
      </c>
      <c r="C43" t="inlineStr">
        <is>
          <t>USD M</t>
        </is>
      </c>
      <c r="D43" t="inlineStr">
        <is>
          <t>source=range across three firms, $1.2B to $2.6B for 2025; midpoint taken and the range reported in the memo. https://www.verifiedmarketreports.com/product/patient-return-electrodes-dispersive-electrodes-market/</t>
        </is>
      </c>
    </row>
    <row r="44">
      <c r="A44" s="5" t="inlineStr">
        <is>
          <t>_market.return_electrode.selling_price.amt</t>
        </is>
      </c>
      <c r="B44" s="6" t="n">
        <v>2</v>
      </c>
      <c r="C44" t="inlineStr">
        <is>
          <t>USD</t>
        </is>
      </c>
      <c r="D44" t="inlineStr">
        <is>
          <t>source=estimate at the middle of the $1-3 unit selling price recorded in scratch/ideator-candidates.md row 4. This is what the device is sold for, not what a contract manufacturer is paid</t>
        </is>
      </c>
    </row>
    <row r="45">
      <c r="A45" s="5" t="inlineStr">
        <is>
          <t>market.return_electrode.merchant.pct</t>
        </is>
      </c>
      <c r="B45" s="6" t="n">
        <v>25</v>
      </c>
      <c r="C45" t="inlineStr">
        <is>
          <t>pct</t>
        </is>
      </c>
      <c r="D45" t="inlineStr">
        <is>
          <t>source=estimate; Johnson &amp; Johnson, 3M and Medtronic hold more than half the market under their own brands, and the remainder is private-label and regional, which is the part a contract supplier can reach</t>
        </is>
      </c>
    </row>
    <row r="46">
      <c r="A46" s="5" t="inlineStr">
        <is>
          <t>market.ecg_electrode.revenue.amt.2026</t>
        </is>
      </c>
      <c r="B46" s="6" t="n">
        <v>3460</v>
      </c>
      <c r="C46" t="inlineStr">
        <is>
          <t>USD M</t>
        </is>
      </c>
      <c r="D46" t="inlineStr">
        <is>
          <t>source=https://www.thebusinessresearchcompany.com/report/electrocardiography-ecg-disposable-medical-electrodes-global-market-report</t>
        </is>
      </c>
    </row>
    <row r="47">
      <c r="A47" s="5" t="inlineStr">
        <is>
          <t>_market.ecg_electrode.selling_price.amt</t>
        </is>
      </c>
      <c r="B47" s="6" t="n">
        <v>0.3</v>
      </c>
      <c r="C47" t="inlineStr">
        <is>
          <t>USD</t>
        </is>
      </c>
      <c r="D47" t="inlineStr">
        <is>
          <t>source=estimate; a disposable ECG electrode sells in the $0.14 to $0.50 range depending on channel and pack size. This is the selling price, not a contract manufacturing price</t>
        </is>
      </c>
    </row>
    <row r="48">
      <c r="A48" s="5" t="inlineStr">
        <is>
          <t>market.ecg_electrode.merchant.pct</t>
        </is>
      </c>
      <c r="B48" s="6" t="n">
        <v>20</v>
      </c>
      <c r="C48" t="inlineStr">
        <is>
          <t>pct</t>
        </is>
      </c>
      <c r="D48" t="inlineStr">
        <is>
          <t>source=estimate, and the least evidenced figure in this sizing. The category is branded and distributor-led and the reachable part is private-label manufacture, but no source establishes the share</t>
        </is>
      </c>
    </row>
    <row r="49">
      <c r="A49" s="5" t="inlineStr">
        <is>
          <t>_market.growth.return_electrode.pct</t>
        </is>
      </c>
      <c r="B49" s="6" t="n">
        <v>6.5</v>
      </c>
      <c r="C49" t="inlineStr">
        <is>
          <t>pct/yr</t>
        </is>
      </c>
      <c r="D49" t="inlineStr">
        <is>
          <t>source=https://www.verifiedmarketreports.com/product/patient-return-electrodes-dispersive-electrodes-market/ , 6.5% CAGR 2026-2034</t>
        </is>
      </c>
    </row>
    <row r="50">
      <c r="A50" s="5" t="inlineStr">
        <is>
          <t>_strategy.line_a.price.return_electrode.amt</t>
        </is>
      </c>
      <c r="B50" s="6" t="n">
        <v>0.6</v>
      </c>
      <c r="C50" t="inlineStr">
        <is>
          <t>USD</t>
        </is>
      </c>
      <c r="D50" t="inlineStr">
        <is>
          <t>source=estimate; supplier price for a private-label electrosurgical return electrode, set below the $1-3 unit selling price recorded in scratch/ideator-candidates.md row 4</t>
        </is>
      </c>
    </row>
    <row r="51">
      <c r="A51" s="1" t="inlineStr">
        <is>
          <t>Disposable electronic modules</t>
        </is>
      </c>
      <c r="B51" s="2" t="n"/>
      <c r="C51" s="2" t="n"/>
      <c r="D51" s="2" t="n"/>
    </row>
    <row r="52">
      <c r="A52" s="5" t="inlineStr">
        <is>
          <t>market.module.injector_revenue.amt.2025</t>
        </is>
      </c>
      <c r="B52" s="6" t="n">
        <v>3110</v>
      </c>
      <c r="C52" t="inlineStr">
        <is>
          <t>USD M</t>
        </is>
      </c>
      <c r="D52" t="inlineStr">
        <is>
          <t>source=https://www.marketdataforecast.com/market-reports/large-volume-wearable-injectors-market, large volume wearable injectors $3.11B in 2025</t>
        </is>
      </c>
    </row>
    <row r="53">
      <c r="A53" s="5" t="inlineStr">
        <is>
          <t>market.module.injector.unit.cnt.2029</t>
        </is>
      </c>
      <c r="B53" s="6" t="n">
        <v>39.8</v>
      </c>
      <c r="C53" t="inlineStr">
        <is>
          <t>M units</t>
        </is>
      </c>
      <c r="D53" t="inlineStr">
        <is>
          <t>source=estimate; from the $3.11B 2025 device-level market in https://www.marketdataforecast.com/market-reports/large-volume-wearable-injectors-market grown at its stated 8.9% and divided by a device price of about $110</t>
        </is>
      </c>
    </row>
    <row r="54">
      <c r="A54" s="5" t="inlineStr">
        <is>
          <t>market.module.injector.content.amt</t>
        </is>
      </c>
      <c r="B54" s="6" t="n">
        <v>6</v>
      </c>
      <c r="C54" t="inlineStr">
        <is>
          <t>USD</t>
        </is>
      </c>
      <c r="D54" t="inlineStr">
        <is>
          <t>source=estimate; flex substrate, bonded controller, drive electronics and sensing on a single-use device, at the upper half of the $2-12 medical printed circuit range in https://www.imarcgroup.com/flexible-printed-circuits-manufacturing-plant-project-report</t>
        </is>
      </c>
    </row>
    <row r="55">
      <c r="A55" s="5" t="inlineStr">
        <is>
          <t>market.module.injector.merchant.pct</t>
        </is>
      </c>
      <c r="B55" s="6" t="n">
        <v>70</v>
      </c>
      <c r="C55" t="inlineStr">
        <is>
          <t>pct</t>
        </is>
      </c>
      <c r="D55" t="inlineStr">
        <is>
          <t>source=pharmaceutical companies do not operate electronics plants and contract device manufacture out; Phillips-Medisize publicly manufactures a wearable electronic-enabled combination product for a biotechnology customer, https://phillipsmedisize.com/news/phillips-medisize-wins-contract-to-manufacture-first-electronic-enabled-combination-drug-delivery-product/</t>
        </is>
      </c>
    </row>
    <row r="56">
      <c r="A56" s="5" t="inlineStr">
        <is>
          <t>market.module.cartridge.reachable.amt.2029</t>
        </is>
      </c>
      <c r="B56" s="6" t="n">
        <v>0</v>
      </c>
      <c r="C56" t="inlineStr">
        <is>
          <t>USD M</t>
        </is>
      </c>
      <c r="D56" t="inlineStr">
        <is>
          <t>source=not sized; no cartridge unit volume could be sourced and the merchant evidence concerns whole-cartridge manufacture rather than electrode film supply. Recorded as an unsized option, not as an absence</t>
        </is>
      </c>
    </row>
    <row r="57">
      <c r="A57" s="5" t="inlineStr">
        <is>
          <t>market.module.patch.unit.cnt.2029</t>
        </is>
      </c>
      <c r="B57" s="6" t="n">
        <v>22</v>
      </c>
      <c r="C57" t="inlineStr">
        <is>
          <t>M units</t>
        </is>
      </c>
      <c r="D57" t="inlineStr">
        <is>
          <t>source=estimate; ambulatory cardiac monitoring patch volumes from the $2.16B 2025 market in https://www.marketresearchfuture.com/reports/ecg-patch-holter-monitor-market-24367 at typical device prices</t>
        </is>
      </c>
    </row>
    <row r="58">
      <c r="A58" s="5" t="inlineStr">
        <is>
          <t>market.module.patch.content.amt</t>
        </is>
      </c>
      <c r="B58" s="6" t="n">
        <v>3.5</v>
      </c>
      <c r="C58" t="inlineStr">
        <is>
          <t>USD</t>
        </is>
      </c>
      <c r="D58" t="inlineStr">
        <is>
          <t>source=estimate; flex substrate, printed electrodes, bonded controller and memory on a single-use adhesive patch</t>
        </is>
      </c>
    </row>
    <row r="59">
      <c r="A59" s="5" t="inlineStr">
        <is>
          <t>market.module.patch.merchant.pct</t>
        </is>
      </c>
      <c r="B59" s="6" t="n">
        <v>35</v>
      </c>
      <c r="C59" t="inlineStr">
        <is>
          <t>pct</t>
        </is>
      </c>
      <c r="D59" t="inlineStr">
        <is>
          <t>source=estimate; the sellers are device companies (iRhythm, Philips, Baxter) for whom the patch is the product, so by the make-or-buy rule much of it stays in-house; the merchant part is the second tier and the newer entrants</t>
        </is>
      </c>
    </row>
    <row r="60">
      <c r="A60" s="5" t="inlineStr">
        <is>
          <t>market.module.pod.merchant.pct</t>
        </is>
      </c>
      <c r="B60" s="6" t="n">
        <v>3</v>
      </c>
      <c r="C60" t="inlineStr">
        <is>
          <t>pct</t>
        </is>
      </c>
      <c r="D60" t="inlineStr">
        <is>
          <t>source=Insulet manufactures Omnipod in-house, opening a 400,000 sq ft dedicated plant in Malaysia; https://investor.insulet.com/news/news-details/2024/Insulet-Celebrates-Grand-Opening-of-400000-square-foot-Manufacturing-Facility-in-Malaysia/default.aspx</t>
        </is>
      </c>
    </row>
    <row r="61">
      <c r="A61" s="5" t="inlineStr">
        <is>
          <t>market.module.pod.unit.cnt.2029</t>
        </is>
      </c>
      <c r="B61" s="6" t="n">
        <v>95</v>
      </c>
      <c r="C61" t="inlineStr">
        <is>
          <t>M units</t>
        </is>
      </c>
      <c r="D61" t="inlineStr">
        <is>
          <t>source=estimate; about 780,000 patch-pump users at roughly 122 pods a year, from the insulin pump market at https://www.precedenceresearch.com/insulin-pump-market and a pod discarded every three days</t>
        </is>
      </c>
    </row>
    <row r="62">
      <c r="A62" s="5" t="inlineStr">
        <is>
          <t>market.module.pod.content.amt</t>
        </is>
      </c>
      <c r="B62" s="6" t="n">
        <v>3.2</v>
      </c>
      <c r="C62" t="inlineStr">
        <is>
          <t>USD</t>
        </is>
      </c>
      <c r="D62" t="inlineStr">
        <is>
          <t>source=estimate; flex circuit and bonded controller inside a three-day disposable pod, below the injector figure because the pod carries no drive electronics of its own</t>
        </is>
      </c>
    </row>
    <row r="63">
      <c r="A63" s="5" t="inlineStr">
        <is>
          <t>market.module.incumbent_held.pct</t>
        </is>
      </c>
      <c r="B63" s="6" t="n">
        <v>75</v>
      </c>
      <c r="C63" t="inlineStr">
        <is>
          <t>pct</t>
        </is>
      </c>
      <c r="D63" t="inlineStr">
        <is>
          <t>source=estimate; the share of merchant module work already placed with qualified contract manufacturers, given that Phillips-Medisize alone reports over 13 years of combination product programs, https://phillipsmedisize.com/article/wearable-injectors-telehealth/</t>
        </is>
      </c>
    </row>
    <row r="64">
      <c r="A64" s="1" t="inlineStr">
        <is>
          <t>Interventional and implantable</t>
        </is>
      </c>
      <c r="B64" s="2" t="n"/>
      <c r="C64" s="2" t="n"/>
      <c r="D64" s="2" t="n"/>
    </row>
    <row r="65">
      <c r="A65" s="5" t="inlineStr">
        <is>
          <t>market.ep.procedure.cnt.2025</t>
        </is>
      </c>
      <c r="B65" s="6" t="n">
        <v>0.85</v>
      </c>
      <c r="C65" t="inlineStr">
        <is>
          <t>M procedures</t>
        </is>
      </c>
      <c r="D65" t="inlineStr">
        <is>
          <t>source=https://www.360iresearch.com/library/intelligence/electrophysiology-catheters, approximately 850,000 ablation procedures performed worldwide in 2025</t>
        </is>
      </c>
    </row>
    <row r="66">
      <c r="A66" s="5" t="inlineStr">
        <is>
          <t>market.ep.content_per_unit.amt</t>
        </is>
      </c>
      <c r="B66" s="6" t="n">
        <v>90</v>
      </c>
      <c r="C66" t="inlineStr">
        <is>
          <t>USD</t>
        </is>
      </c>
      <c r="D66" t="inlineStr">
        <is>
          <t>source=estimate; the flexible printed spline array in a high-density mapping catheter as a supplier price, at the middle of the $50-150 range recorded in scratch/ideator-candidates.md row 9</t>
        </is>
      </c>
    </row>
    <row r="67">
      <c r="A67" s="5" t="inlineStr">
        <is>
          <t>market.ep.merchant.pct</t>
        </is>
      </c>
      <c r="B67" s="6" t="n">
        <v>35</v>
      </c>
      <c r="C67" t="inlineStr">
        <is>
          <t>pct</t>
        </is>
      </c>
      <c r="D67" t="inlineStr">
        <is>
          <t>source=estimate; catheter OEMs outsource thin-film spline arrays to specialist houses, which is Cirtec's and MicroConnex's stated business</t>
        </is>
      </c>
    </row>
    <row r="68">
      <c r="A68" s="5" t="inlineStr">
        <is>
          <t>_market.growth.ep.pct</t>
        </is>
      </c>
      <c r="B68" s="6" t="n">
        <v>10.4</v>
      </c>
      <c r="C68" t="inlineStr">
        <is>
          <t>pct/yr</t>
        </is>
      </c>
      <c r="D68" t="inlineStr">
        <is>
          <t>source=https://www.360iresearch.com/library/intelligence/electrophysiology-catheters , 10.39% CAGR</t>
        </is>
      </c>
    </row>
    <row r="69">
      <c r="A69" s="1" t="inlineStr">
        <is>
          <t>The calendar</t>
        </is>
      </c>
      <c r="B69" s="2" t="n"/>
      <c r="C69" s="2" t="n"/>
      <c r="D69" s="2" t="n"/>
    </row>
    <row r="70">
      <c r="A70" s="5" t="inlineStr">
        <is>
          <t>ops.regulatory.recert.dur</t>
        </is>
      </c>
      <c r="B70" s="6" t="n">
        <v>12</v>
      </c>
      <c r="C70" t="inlineStr">
        <is>
          <t>months</t>
        </is>
      </c>
      <c r="D70" t="inlineStr">
        <is>
          <t>source=ISO 13485 certification is budgeted at 12-18 months from scratch; 12 taken because MERIDIAN held the certificate to Dec 2021 and retains the quality system. https://meddeviceguide.com/blog/iso-13485-certification-cost-timeline-guide</t>
        </is>
      </c>
    </row>
    <row r="71">
      <c r="A71" s="5" t="inlineStr">
        <is>
          <t>ops.regulatory.recert.amt</t>
        </is>
      </c>
      <c r="B71" s="6" t="n">
        <v>0.3</v>
      </c>
      <c r="C71" t="inlineStr">
        <is>
          <t>USD M</t>
        </is>
      </c>
      <c r="D71" t="inlineStr">
        <is>
          <t>source=published range $12,000 to over $100,000 plus about $40,000 a year of audit days, taken at the multi-site end for a company of this scale</t>
        </is>
      </c>
    </row>
    <row r="72">
      <c r="A72" s="5" t="inlineStr">
        <is>
          <t>ops.qualification.dur</t>
        </is>
      </c>
      <c r="B72" s="6" t="n">
        <v>9</v>
      </c>
      <c r="C72" t="inlineStr">
        <is>
          <t>months</t>
        </is>
      </c>
      <c r="D72" t="inlineStr">
        <is>
          <t>source=estimate; customer supplier qualification and production part approval for a medical component, after the certificate exists</t>
        </is>
      </c>
    </row>
    <row r="73">
      <c r="A73" s="5" t="inlineStr">
        <is>
          <t>ops.design_in.dur</t>
        </is>
      </c>
      <c r="B73" s="6" t="n">
        <v>15</v>
      </c>
      <c r="C73" t="inlineStr">
        <is>
          <t>months</t>
        </is>
      </c>
      <c r="D73" t="inlineStr">
        <is>
          <t>source=estimate; from qualified supplier to a design win shipping in volume on a new customer program</t>
        </is>
      </c>
    </row>
    <row r="74">
      <c r="A74" s="5" t="inlineStr">
        <is>
          <t>ops.implant_clearance.dur</t>
        </is>
      </c>
      <c r="B74" s="6" t="n">
        <v>24</v>
      </c>
      <c r="C74" t="inlineStr">
        <is>
          <t>months</t>
        </is>
      </c>
      <c r="D74" t="inlineStr">
        <is>
          <t>source=estimate; the customer's own regulatory clearance for a Class III device carrying a new electrode, which follows design-in</t>
        </is>
      </c>
    </row>
    <row r="75">
      <c r="A75" s="1" t="inlineStr">
        <is>
          <t>The revenue build</t>
        </is>
      </c>
      <c r="B75" s="2" t="n"/>
      <c r="C75" s="2" t="n"/>
      <c r="D75" s="2" t="n"/>
    </row>
    <row r="76">
      <c r="A76" s="5" t="inlineStr">
        <is>
          <t>strategy.line_a.share.pct.return_electrode</t>
        </is>
      </c>
      <c r="B76" s="6" t="n">
        <v>32</v>
      </c>
      <c r="C76" t="inlineStr">
        <is>
          <t>pct</t>
        </is>
      </c>
      <c r="D76" t="inlineStr">
        <is>
          <t>source=estimate; share of the reachable private-label return electrode pool won by 2032, against Nissha and the regional converters</t>
        </is>
      </c>
    </row>
    <row r="77">
      <c r="A77" s="5" t="inlineStr">
        <is>
          <t>strategy.line_a.share.pct.ecg</t>
        </is>
      </c>
      <c r="B77" s="6" t="n">
        <v>30</v>
      </c>
      <c r="C77" t="inlineStr">
        <is>
          <t>pct</t>
        </is>
      </c>
      <c r="D77" t="inlineStr">
        <is>
          <t>source=estimate; share of the reachable private-label ECG electrode pool</t>
        </is>
      </c>
    </row>
    <row r="78">
      <c r="A78" s="5" t="inlineStr">
        <is>
          <t>strategy.line_a.share.pct.defib</t>
        </is>
      </c>
      <c r="B78" s="6" t="n">
        <v>32</v>
      </c>
      <c r="C78" t="inlineStr">
        <is>
          <t>pct</t>
        </is>
      </c>
      <c r="D78" t="inlineStr">
        <is>
          <t>source=estimate; share of the reachable defibrillation and pacing pad pool</t>
        </is>
      </c>
    </row>
    <row r="79">
      <c r="A79" s="5" t="inlineStr">
        <is>
          <t>strategy.line_a.share.pct.ostomy</t>
        </is>
      </c>
      <c r="B79" s="6" t="n">
        <v>30</v>
      </c>
      <c r="C79" t="inlineStr">
        <is>
          <t>pct</t>
        </is>
      </c>
      <c r="D79" t="inlineStr">
        <is>
          <t>source=estimate; share of the reachable ostomy sensor-layer pool, which is a share of Coloplast's competitors rather than of the whole category</t>
        </is>
      </c>
    </row>
    <row r="80">
      <c r="A80" s="5" t="inlineStr">
        <is>
          <t>strategy.line_b.revenue.amt.2028</t>
        </is>
      </c>
      <c r="B80" s="6" t="n">
        <v>0</v>
      </c>
      <c r="C80" t="inlineStr">
        <is>
          <t>USD M</t>
        </is>
      </c>
      <c r="D80" t="inlineStr">
        <is>
          <t>source=the module lane carries no new-program revenue before 2030; see ops.lane_module.first_revenue.cnt</t>
        </is>
      </c>
    </row>
    <row r="81">
      <c r="A81" s="5" t="inlineStr">
        <is>
          <t>strategy.line_b.revenue.amt.2029</t>
        </is>
      </c>
      <c r="B81" s="6" t="n">
        <v>4</v>
      </c>
      <c r="C81" t="inlineStr">
        <is>
          <t>USD M</t>
        </is>
      </c>
      <c r="D81" t="inlineStr">
        <is>
          <t>source=estimate; the CGM substrate and module development already in flight with a major CGM company, which began its technical qualification before this decision and is therefore ahead of the lane. It is the one figure in the 2029 total that does not come from a sized pool</t>
        </is>
      </c>
    </row>
    <row r="82">
      <c r="A82" s="5" t="inlineStr">
        <is>
          <t>strategy.line_b.share_of_contestable.pct.2032</t>
        </is>
      </c>
      <c r="B82" s="6" t="n">
        <v>55</v>
      </c>
      <c r="C82" t="inlineStr">
        <is>
          <t>pct</t>
        </is>
      </c>
      <c r="D82" t="inlineStr">
        <is>
          <t>source=estimate; the share of module work turning over in the horizon that MERIDIAN wins. It is a share of the genuinely open part rather than of the whole merchant pool, which is why it is high</t>
        </is>
      </c>
    </row>
    <row r="83">
      <c r="A83" s="5" t="inlineStr">
        <is>
          <t>strategy.line_c.share_of_pool.pct.2032</t>
        </is>
      </c>
      <c r="B83" s="6" t="n">
        <v>32</v>
      </c>
      <c r="C83" t="inlineStr">
        <is>
          <t>pct</t>
        </is>
      </c>
      <c r="D83" t="inlineStr">
        <is>
          <t>source=estimate; share of the reachable electrophysiology and neurostimulation electrode pool won by 2032. High as a share because the pool is small and the work is won account by account against Cirtec and Integer rather than tendered</t>
        </is>
      </c>
    </row>
    <row r="84">
      <c r="A84" s="5" t="inlineStr">
        <is>
          <t>strategy.line_c.revenue.amt.2028</t>
        </is>
      </c>
      <c r="B84" s="6" t="n">
        <v>0</v>
      </c>
      <c r="C84" t="inlineStr">
        <is>
          <t>USD M</t>
        </is>
      </c>
      <c r="D84" t="inlineStr">
        <is>
          <t>source=the implant lane cannot carry revenue before 2032; the Class II products within it reach revenue from 2030</t>
        </is>
      </c>
    </row>
    <row r="85">
      <c r="A85" s="5" t="inlineStr">
        <is>
          <t>strategy.line_c.revenue.amt.2029</t>
        </is>
      </c>
      <c r="B85" s="6" t="n">
        <v>0</v>
      </c>
      <c r="C85" t="inlineStr">
        <is>
          <t>USD M</t>
        </is>
      </c>
      <c r="D85" t="inlineStr">
        <is>
          <t>source=as above</t>
        </is>
      </c>
    </row>
    <row r="86">
      <c r="A86" s="5" t="inlineStr">
        <is>
          <t>finance.revenue.amt.2027</t>
        </is>
      </c>
      <c r="B86" s="6" t="n">
        <v>0</v>
      </c>
      <c r="C86" t="inlineStr">
        <is>
          <t>USD M</t>
        </is>
      </c>
      <c r="D86" t="inlineStr">
        <is>
          <t>source=no revenue in the recertification year; the certificate gates every customer qualification and nothing can ship before it exists</t>
        </is>
      </c>
    </row>
    <row r="87">
      <c r="A87" s="5" t="inlineStr">
        <is>
          <t>finance.target_reached.year.cnt.fast</t>
        </is>
      </c>
      <c r="B87" s="6" t="n">
        <v>2034</v>
      </c>
      <c r="C87" t="inlineStr">
        <is>
          <t>year</t>
        </is>
      </c>
      <c r="D87" t="inlineStr">
        <is>
          <t>source=extrapolation at finance.ramp_growth.pct.final_year beyond the horizon</t>
        </is>
      </c>
    </row>
    <row r="88">
      <c r="A88" s="5" t="inlineStr">
        <is>
          <t>finance.target_reached.year.cnt.slow</t>
        </is>
      </c>
      <c r="B88" s="6" t="n">
        <v>2038</v>
      </c>
      <c r="C88" t="inlineStr">
        <is>
          <t>year</t>
        </is>
      </c>
      <c r="D88" t="inlineStr">
        <is>
          <t>source=extrapolation at the 8% blended market growth rate beyond the horizon</t>
        </is>
      </c>
    </row>
    <row r="89">
      <c r="A89" s="1" t="inlineStr">
        <is>
          <t>The cost stack</t>
        </is>
      </c>
      <c r="B89" s="2" t="n"/>
      <c r="C89" s="2" t="n"/>
      <c r="D89" s="2" t="n"/>
    </row>
    <row r="90">
      <c r="A90" s="5" t="inlineStr">
        <is>
          <t>finance.unit.material.pct</t>
        </is>
      </c>
      <c r="B90" s="6" t="n">
        <v>44</v>
      </c>
      <c r="C90" t="inlineStr">
        <is>
          <t>pct</t>
        </is>
      </c>
      <c r="D90" t="inlineStr">
        <is>
          <t>source=estimate; substrate film, conductor, gold and silver-silver chloride, the bonded die and passives. Materials-heavy is characteristic of the tier: polyimide film alone is quoted at 60-70% of operating cost in flexible-circuit plants, https://www.imarcgroup.com/flexible-printed-circuits-manufacturing-plant-project-report</t>
        </is>
      </c>
    </row>
    <row r="91">
      <c r="A91" s="5" t="inlineStr">
        <is>
          <t>finance.unit.conversion.pct</t>
        </is>
      </c>
      <c r="B91" s="6" t="n">
        <v>19</v>
      </c>
      <c r="C91" t="inlineStr">
        <is>
          <t>pct</t>
        </is>
      </c>
      <c r="D91" t="inlineStr">
        <is>
          <t>source=estimate; direct labor, cleanroom operation and yield loss</t>
        </is>
      </c>
    </row>
    <row r="92">
      <c r="A92" s="5" t="inlineStr">
        <is>
          <t>finance.unit.plant.pct</t>
        </is>
      </c>
      <c r="B92" s="6" t="n">
        <v>9</v>
      </c>
      <c r="C92" t="inlineStr">
        <is>
          <t>pct</t>
        </is>
      </c>
      <c r="D92" t="inlineStr">
        <is>
          <t>source=estimate; depreciation and allocated share of the roll-to-roll and cleanroom asset base</t>
        </is>
      </c>
    </row>
    <row r="93">
      <c r="A93" s="5" t="inlineStr">
        <is>
          <t>finance.initiative.op_margin.pct.ex_line_c</t>
        </is>
      </c>
      <c r="B93" s="6" t="n">
        <v>-7.7</v>
      </c>
      <c r="C93" t="inlineStr">
        <is>
          <t>pct</t>
        </is>
      </c>
      <c r="D93" t="inlineStr">
        <is>
          <t>depends_on=finance.initiative.op_margin.pct, strategy.line_c.revenue.amt.2032</t>
        </is>
      </c>
    </row>
    <row r="94">
      <c r="A94" s="1" t="inlineStr">
        <is>
          <t>Capital, cash flow and returns</t>
        </is>
      </c>
      <c r="B94" s="2" t="n"/>
      <c r="C94" s="2" t="n"/>
      <c r="D94" s="2" t="n"/>
    </row>
    <row r="95">
      <c r="A95" s="5" t="inlineStr">
        <is>
          <t>finance.initiative.variable_opex.pct</t>
        </is>
      </c>
      <c r="B95" s="6" t="n">
        <v>6</v>
      </c>
      <c r="C95" t="inlineStr">
        <is>
          <t>pct</t>
        </is>
      </c>
      <c r="D95" t="inlineStr">
        <is>
          <t>source=estimate; commissions, freight, customer-specific application engineering and the marginal cost of serving a program once won</t>
        </is>
      </c>
    </row>
    <row r="96">
      <c r="A96" s="5" t="inlineStr">
        <is>
          <t>finance.initiative.capex.amt.2027</t>
        </is>
      </c>
      <c r="B96" s="6" t="n">
        <v>22</v>
      </c>
      <c r="C96" t="inlineStr">
        <is>
          <t>USD M</t>
        </is>
      </c>
      <c r="D96" t="inlineStr">
        <is>
          <t>source=estimate; Stage 1 only. Cleanroom conversion of one existing roll-to-roll line, medical-grade metrology and the quality system build. Deliberately excludes capacity build, which is Stage 2 and is released only if the gate passes</t>
        </is>
      </c>
    </row>
    <row r="97">
      <c r="A97" s="5" t="inlineStr">
        <is>
          <t>finance.initiative.capex.amt.2028</t>
        </is>
      </c>
      <c r="B97" s="6" t="n">
        <v>18</v>
      </c>
      <c r="C97" t="inlineStr">
        <is>
          <t>USD M</t>
        </is>
      </c>
      <c r="D97" t="inlineStr">
        <is>
          <t>source=estimate</t>
        </is>
      </c>
    </row>
    <row r="98">
      <c r="A98" s="5" t="inlineStr">
        <is>
          <t>finance.initiative.capex.amt.2029</t>
        </is>
      </c>
      <c r="B98" s="6" t="n">
        <v>32</v>
      </c>
      <c r="C98" t="inlineStr">
        <is>
          <t>USD M</t>
        </is>
      </c>
      <c r="D98" t="inlineStr">
        <is>
          <t>source=estimate</t>
        </is>
      </c>
    </row>
    <row r="99">
      <c r="A99" s="5" t="inlineStr">
        <is>
          <t>finance.initiative.capex.amt.2030</t>
        </is>
      </c>
      <c r="B99" s="6" t="n">
        <v>35</v>
      </c>
      <c r="C99" t="inlineStr">
        <is>
          <t>USD M</t>
        </is>
      </c>
      <c r="D99" t="inlineStr">
        <is>
          <t>source=estimate</t>
        </is>
      </c>
    </row>
    <row r="100">
      <c r="A100" s="5" t="inlineStr">
        <is>
          <t>finance.initiative.capex.amt.2031</t>
        </is>
      </c>
      <c r="B100" s="6" t="n">
        <v>28</v>
      </c>
      <c r="C100" t="inlineStr">
        <is>
          <t>USD M</t>
        </is>
      </c>
      <c r="D100" t="inlineStr">
        <is>
          <t>source=estimate</t>
        </is>
      </c>
    </row>
    <row r="101">
      <c r="A101" s="5" t="inlineStr">
        <is>
          <t>finance.initiative.capex.amt.2032</t>
        </is>
      </c>
      <c r="B101" s="6" t="n">
        <v>25</v>
      </c>
      <c r="C101" t="inlineStr">
        <is>
          <t>USD M</t>
        </is>
      </c>
      <c r="D101" t="inlineStr">
        <is>
          <t>source=estimate</t>
        </is>
      </c>
    </row>
    <row r="102">
      <c r="A102" s="5" t="inlineStr">
        <is>
          <t>_finance.cost_per_head.amt</t>
        </is>
      </c>
      <c r="B102" s="6" t="n">
        <v>0.18</v>
      </c>
      <c r="C102" t="inlineStr">
        <is>
          <t>USD M/head</t>
        </is>
      </c>
      <c r="D102" t="inlineStr">
        <is>
          <t>source=estimate; fully loaded annual cost of a quality, regulatory or technical sales professional including facilities and systems</t>
        </is>
      </c>
    </row>
    <row r="103">
      <c r="A103" s="5" t="inlineStr">
        <is>
          <t>finance.initiative.fixed_cost.amt.2027</t>
        </is>
      </c>
      <c r="B103" s="6" t="n">
        <v>14</v>
      </c>
      <c r="C103" t="inlineStr">
        <is>
          <t>USD M</t>
        </is>
      </c>
      <c r="D103" t="inlineStr">
        <is>
          <t>source=estimate; quality, regulatory and commercial organization, carried whether or not revenue has arrived. The Stage 1 years are sized for recertification and one product line rather than for the full programme</t>
        </is>
      </c>
    </row>
    <row r="104">
      <c r="A104" s="5" t="inlineStr">
        <is>
          <t>finance.initiative.fixed_cost.amt.2028</t>
        </is>
      </c>
      <c r="B104" s="6" t="n">
        <v>18</v>
      </c>
      <c r="C104" t="inlineStr">
        <is>
          <t>USD M</t>
        </is>
      </c>
      <c r="D104" t="inlineStr">
        <is>
          <t>source=estimate; quality, regulatory and commercial organization, carried whether or not revenue has arrived. The Stage 1 years are sized for recertification and one product line rather than for the full programme</t>
        </is>
      </c>
    </row>
    <row r="105">
      <c r="A105" s="5" t="inlineStr">
        <is>
          <t>finance.initiative.fixed_cost.amt.2029</t>
        </is>
      </c>
      <c r="B105" s="6" t="n">
        <v>28</v>
      </c>
      <c r="C105" t="inlineStr">
        <is>
          <t>USD M</t>
        </is>
      </c>
      <c r="D105" t="inlineStr">
        <is>
          <t>source=estimate; quality, regulatory and commercial organization, carried whether or not revenue has arrived. The Stage 1 years are sized for recertification and one product line rather than for the full programme</t>
        </is>
      </c>
    </row>
    <row r="106">
      <c r="A106" s="5" t="inlineStr">
        <is>
          <t>finance.initiative.fixed_cost.amt.2030</t>
        </is>
      </c>
      <c r="B106" s="6" t="n">
        <v>32</v>
      </c>
      <c r="C106" t="inlineStr">
        <is>
          <t>USD M</t>
        </is>
      </c>
      <c r="D106" t="inlineStr">
        <is>
          <t>source=estimate; quality, regulatory and commercial organization, carried whether or not revenue has arrived. The Stage 1 years are sized for recertification and one product line rather than for the full programme</t>
        </is>
      </c>
    </row>
    <row r="107">
      <c r="A107" s="5" t="inlineStr">
        <is>
          <t>finance.initiative.fixed_cost.amt.2031</t>
        </is>
      </c>
      <c r="B107" s="6" t="n">
        <v>34</v>
      </c>
      <c r="C107" t="inlineStr">
        <is>
          <t>USD M</t>
        </is>
      </c>
      <c r="D107" t="inlineStr">
        <is>
          <t>source=estimate; quality, regulatory and commercial organization, carried whether or not revenue has arrived. The Stage 1 years are sized for recertification and one product line rather than for the full programme</t>
        </is>
      </c>
    </row>
    <row r="108">
      <c r="A108" s="5" t="inlineStr">
        <is>
          <t>finance.initiative.fixed_cost.amt.2032</t>
        </is>
      </c>
      <c r="B108" s="6" t="n">
        <v>36</v>
      </c>
      <c r="C108" t="inlineStr">
        <is>
          <t>USD M</t>
        </is>
      </c>
      <c r="D108" t="inlineStr">
        <is>
          <t>source=estimate; quality, regulatory and commercial organization, carried whether or not revenue has arrived. The Stage 1 years are sized for recertification and one product line rather than for the full programme</t>
        </is>
      </c>
    </row>
    <row r="109">
      <c r="A109" s="5" t="inlineStr">
        <is>
          <t>_finance.depreciation_life.dur</t>
        </is>
      </c>
      <c r="B109" s="6" t="n">
        <v>8</v>
      </c>
      <c r="C109" t="inlineStr">
        <is>
          <t>years</t>
        </is>
      </c>
      <c r="D109" t="inlineStr">
        <is>
          <t>source=estimate; straight-line life for roll-to-roll and cleanroom assets</t>
        </is>
      </c>
    </row>
    <row r="110">
      <c r="A110" s="5" t="inlineStr">
        <is>
          <t>finance.initiative.depreciation.amt.2027</t>
        </is>
      </c>
      <c r="B110" s="6" t="n">
        <v>1.4</v>
      </c>
      <c r="C110" t="inlineStr">
        <is>
          <t>USD M</t>
        </is>
      </c>
      <c r="D110" t="inlineStr">
        <is>
          <t>depends_on=finance.initiative.capex.amt.2027, _finance.depreciation_life.dur</t>
        </is>
      </c>
    </row>
    <row r="111">
      <c r="A111" s="5" t="inlineStr">
        <is>
          <t>_finance.working_capital.pct</t>
        </is>
      </c>
      <c r="B111" s="6" t="n">
        <v>18</v>
      </c>
      <c r="C111" t="inlineStr">
        <is>
          <t>pct</t>
        </is>
      </c>
      <c r="D111" t="inlineStr">
        <is>
          <t>source=estimate; inventory and receivables less payables as a share of revenue, characteristic of a components manufacturer</t>
        </is>
      </c>
    </row>
    <row r="112">
      <c r="A112" s="5" t="inlineStr">
        <is>
          <t>finance.initiative.positive_fcf_year.flag</t>
        </is>
      </c>
      <c r="B112" s="6" t="n">
        <v>0</v>
      </c>
      <c r="C112" t="inlineStr">
        <is>
          <t>boolean</t>
        </is>
      </c>
      <c r="D112" t="inlineStr">
        <is>
          <t>depends_on=finance.initiative.fcf.amt.2027, finance.initiative.fcf.amt.2032</t>
        </is>
      </c>
    </row>
    <row r="113">
      <c r="A113" s="5" t="inlineStr">
        <is>
          <t>_finance.terminal_multiple.ratio</t>
        </is>
      </c>
      <c r="B113" s="6" t="n">
        <v>8.25</v>
      </c>
      <c r="C113" t="inlineStr">
        <is>
          <t>x EBITDA</t>
        </is>
      </c>
      <c r="D113" t="inlineStr">
        <is>
          <t>source=https://ctacquisitions.com/manufacturing-business-ebitda-multiple/ , medical device contract manufacturers at $25-50M of EBITDA transact at 7 to 9.5 times; the midpoint is taken and both ends carried as a range</t>
        </is>
      </c>
    </row>
    <row r="114">
      <c r="A114" s="5" t="inlineStr">
        <is>
          <t>_finance.terminal_multiple.ratio.low</t>
        </is>
      </c>
      <c r="B114" s="6" t="n">
        <v>7</v>
      </c>
      <c r="C114" t="inlineStr">
        <is>
          <t>x EBITDA</t>
        </is>
      </c>
      <c r="D114" t="inlineStr">
        <is>
          <t>source=https://ctacquisitions.com/manufacturing-business-ebitda-multiple/ , low end of the band</t>
        </is>
      </c>
    </row>
    <row r="115">
      <c r="A115" s="5" t="inlineStr">
        <is>
          <t>_finance.terminal_multiple.ratio.high</t>
        </is>
      </c>
      <c r="B115" s="6" t="n">
        <v>9.5</v>
      </c>
      <c r="C115" t="inlineStr">
        <is>
          <t>x EBITDA</t>
        </is>
      </c>
      <c r="D115" t="inlineStr">
        <is>
          <t>source=https://ctacquisitions.com/manufacturing-business-ebitda-multiple/ , high end of the band</t>
        </is>
      </c>
    </row>
    <row r="116">
      <c r="A116" s="5" t="inlineStr">
        <is>
          <t>_finance.terminal_multiple.ratio.industrial</t>
        </is>
      </c>
      <c r="B116" s="6" t="n">
        <v>5.25</v>
      </c>
      <c r="C116" t="inlineStr">
        <is>
          <t>x EBITDA</t>
        </is>
      </c>
      <c r="D116" t="inlineStr">
        <is>
          <t>source=https://ctacquisitions.com/manufacturing-business-ebitda-multiple/ , the general manufacturing baseline implied by certified medical manufacturers trading 2 to 4 turns above it</t>
        </is>
      </c>
    </row>
    <row r="117">
      <c r="A117" s="5" t="inlineStr">
        <is>
          <t>_finance.discount_rate.pct</t>
        </is>
      </c>
      <c r="B117" s="6" t="n">
        <v>10</v>
      </c>
      <c r="C117" t="inlineStr">
        <is>
          <t>pct</t>
        </is>
      </c>
      <c r="D117" t="inlineStr">
        <is>
          <t>source=estimate; a weighted average cost of capital for a large established electronics manufacturer, applied to an initiative inside it</t>
        </is>
      </c>
    </row>
    <row r="118">
      <c r="A118" s="1" t="inlineStr">
        <is>
          <t>Scenarios</t>
        </is>
      </c>
      <c r="B118" s="2" t="n"/>
      <c r="C118" s="2" t="n"/>
      <c r="D118" s="2" t="n"/>
    </row>
    <row r="119">
      <c r="A119" s="5" t="inlineStr">
        <is>
          <t>finance.scenario.revenue.amt.2029.low</t>
        </is>
      </c>
      <c r="B119" s="6" t="n">
        <v>16</v>
      </c>
      <c r="C119" t="inlineStr">
        <is>
          <t>USD M</t>
        </is>
      </c>
      <c r="D119" t="inlineStr">
        <is>
          <t>source=estimate; recertification takes 18 months rather than 12 and the private-label lane starts a year late</t>
        </is>
      </c>
    </row>
    <row r="120">
      <c r="A120" s="5" t="inlineStr">
        <is>
          <t>finance.scenario.revenue.amt.2029.high</t>
        </is>
      </c>
      <c r="B120" s="6" t="n">
        <v>62</v>
      </c>
      <c r="C120" t="inlineStr">
        <is>
          <t>USD M</t>
        </is>
      </c>
      <c r="D120" t="inlineStr">
        <is>
          <t>source=estimate; an acquisition removes recertification from the critical path</t>
        </is>
      </c>
    </row>
    <row r="121">
      <c r="A121" s="5" t="inlineStr">
        <is>
          <t>finance.scenario.revenue.amt.2032.low</t>
        </is>
      </c>
      <c r="B121" s="6" t="n">
        <v>98</v>
      </c>
      <c r="C121" t="inlineStr">
        <is>
          <t>USD M</t>
        </is>
      </c>
      <c r="D121" t="inlineStr">
        <is>
          <t>source=estimate; the private-label lane holds and the module lane wins half the contestable share assumed</t>
        </is>
      </c>
    </row>
    <row r="122">
      <c r="A122" s="5" t="inlineStr">
        <is>
          <t>finance.scenario.revenue.amt.2032.high</t>
        </is>
      </c>
      <c r="B122" s="6" t="n">
        <v>250</v>
      </c>
      <c r="C122" t="inlineStr">
        <is>
          <t>USD M</t>
        </is>
      </c>
      <c r="D122" t="inlineStr">
        <is>
          <t>source=estimate; acquisition, most of the contestable module pool, a second private-label region, and the cartridge opportunity sized and won</t>
        </is>
      </c>
    </row>
    <row r="123">
      <c r="A123" s="5" t="inlineStr">
        <is>
          <t>finance.scenario.op_margin.pct.low</t>
        </is>
      </c>
      <c r="B123" s="6" t="n">
        <v>-12</v>
      </c>
      <c r="C123" t="inlineStr">
        <is>
          <t>pct</t>
        </is>
      </c>
      <c r="D123" t="inlineStr">
        <is>
          <t>source=estimate; the mix stays weighted to private-label work and price follows volume down</t>
        </is>
      </c>
    </row>
    <row r="124">
      <c r="A124" s="5" t="inlineStr">
        <is>
          <t>finance.scenario.op_margin.pct.high</t>
        </is>
      </c>
      <c r="B124" s="6" t="n">
        <v>5</v>
      </c>
      <c r="C124" t="inlineStr">
        <is>
          <t>pct</t>
        </is>
      </c>
      <c r="D124" t="inlineStr">
        <is>
          <t>source=estimate; interventional work reaches a fifth of the mix and scale carries the fixed organization</t>
        </is>
      </c>
    </row>
    <row r="125">
      <c r="A125" s="1" t="inlineStr">
        <is>
          <t>Acquisition</t>
        </is>
      </c>
      <c r="B125" s="2" t="n"/>
      <c r="C125" s="2" t="n"/>
      <c r="D125" s="2" t="n"/>
    </row>
    <row r="126">
      <c r="A126" s="5" t="inlineStr">
        <is>
          <t>_mna.revenue_multiple.ratio</t>
        </is>
      </c>
      <c r="B126" s="6" t="n">
        <v>1.7</v>
      </c>
      <c r="C126" t="inlineStr">
        <is>
          <t>x revenue</t>
        </is>
      </c>
      <c r="D126" t="inlineStr">
        <is>
          <t>source=estimate; private medical component and contract manufacturing businesses at this scale. Used for what an acquisition buys</t>
        </is>
      </c>
    </row>
    <row r="127">
      <c r="A127" s="5" t="inlineStr">
        <is>
          <t>mna.precision_series_c.amt</t>
        </is>
      </c>
      <c r="B127" s="6" t="n">
        <v>102</v>
      </c>
      <c r="C127" t="inlineStr">
        <is>
          <t>USD M</t>
        </is>
      </c>
      <c r="D127" t="inlineStr">
        <is>
          <t>source=https://paradromics.com/insights/companies-like-neuralink/ , 'In December 2024 the company closed a $102 million Series C'. A second source reports $104M for the same round</t>
        </is>
      </c>
    </row>
    <row r="128">
      <c r="A128" s="1" t="inlineStr">
        <is>
          <t>Other</t>
        </is>
      </c>
      <c r="B128" s="2" t="n"/>
      <c r="C128" s="2" t="n"/>
      <c r="D128" s="2" t="n"/>
    </row>
    <row r="129">
      <c r="A129" s="5" t="inlineStr">
        <is>
          <t>market.defib_pad.revenue.amt.2025</t>
        </is>
      </c>
      <c r="B129" s="6" t="n">
        <v>900</v>
      </c>
      <c r="C129" t="inlineStr">
        <is>
          <t>USD M</t>
        </is>
      </c>
      <c r="D129" t="inlineStr">
        <is>
          <t>source=estimate; the defibrillation and external pacing pad segment, which is not separately sized in any source found and is inferred as a fraction of the disposable electrode market at the $15-40 selling price recorded in scratch/ideator-candidates.md row 12</t>
        </is>
      </c>
    </row>
    <row r="130">
      <c r="A130" s="5" t="inlineStr">
        <is>
          <t>_market.defib_pad.selling_price.amt</t>
        </is>
      </c>
      <c r="B130" s="6" t="n">
        <v>25</v>
      </c>
      <c r="C130" t="inlineStr">
        <is>
          <t>USD</t>
        </is>
      </c>
      <c r="D130" t="inlineStr">
        <is>
          <t>source=middle of the $15-40 pad selling price recorded in scratch/ideator-candidates.md row 12</t>
        </is>
      </c>
    </row>
    <row r="131">
      <c r="A131" s="5" t="inlineStr">
        <is>
          <t>market.defib_pad.merchant.pct</t>
        </is>
      </c>
      <c r="B131" s="6" t="n">
        <v>25</v>
      </c>
      <c r="C131" t="inlineStr">
        <is>
          <t>pct</t>
        </is>
      </c>
      <c r="D131" t="inlineStr">
        <is>
          <t>source=estimate; same branded-plus-private-label structure as return electrodes</t>
        </is>
      </c>
    </row>
    <row r="132">
      <c r="A132" s="5" t="inlineStr">
        <is>
          <t>_strategy.line_a.price.ostomy.amt</t>
        </is>
      </c>
      <c r="B132" s="6" t="n">
        <v>1.2</v>
      </c>
      <c r="C132" t="inlineStr">
        <is>
          <t>USD</t>
        </is>
      </c>
      <c r="D132" t="inlineStr">
        <is>
          <t>source=estimate; a daily-replaced printed sensor layer, priced as a contract manufacturing price against the consumable described at https://products.coloplast.co.uk/coloplast/ostomy-care/heylo/heylo-sensor-layer/</t>
        </is>
      </c>
    </row>
    <row r="133">
      <c r="A133" s="5" t="inlineStr">
        <is>
          <t>_market.ostomy.user.cnt</t>
        </is>
      </c>
      <c r="B133" s="6" t="n">
        <v>1.5</v>
      </c>
      <c r="C133" t="inlineStr">
        <is>
          <t>M people</t>
        </is>
      </c>
      <c r="D133" t="inlineStr">
        <is>
          <t>source=about 1.5 million ostomates in North America and Europe, scratch/ideator-candidates.md row 5</t>
        </is>
      </c>
    </row>
    <row r="134">
      <c r="A134" s="5" t="inlineStr">
        <is>
          <t>_market.ostomy.adoption.pct</t>
        </is>
      </c>
      <c r="B134" s="6" t="n">
        <v>20</v>
      </c>
      <c r="C134" t="inlineStr">
        <is>
          <t>pct</t>
        </is>
      </c>
      <c r="D134" t="inlineStr">
        <is>
          <t>source=estimate; share of ostomates using a leakage-sensing layer by 2032, against UK national reimbursement granted from 1 July 2024, https://www.globenewswire.com/en/news-release/2024/05/07/2876307/0/en/Coloplast-strengthens-ostomy-care-portfolio-with-three-significant-product-launches.html</t>
        </is>
      </c>
    </row>
    <row r="135">
      <c r="A135" s="5" t="inlineStr">
        <is>
          <t>_market.ostomy.replacement.rate</t>
        </is>
      </c>
      <c r="B135" s="6" t="n">
        <v>240</v>
      </c>
      <c r="C135" t="inlineStr">
        <is>
          <t>per yr</t>
        </is>
      </c>
      <c r="D135" t="inlineStr">
        <is>
          <t>source=estimate; the sensor layer is replaced with the baseplate rather than strictly daily, and Coloplast's own guidance is no more than one a day, so the daily maximum is not the central case. 240 assumes a change roughly every 1.5 days, https://products.coloplast.co.uk/coloplast/ostomy-care/heylo/heylo-sensor-layer/</t>
        </is>
      </c>
    </row>
    <row r="136">
      <c r="A136" s="5" t="inlineStr">
        <is>
          <t>market.ostomy.merchant.pct</t>
        </is>
      </c>
      <c r="B136" s="6" t="n">
        <v>60</v>
      </c>
      <c r="C136" t="inlineStr">
        <is>
          <t>pct</t>
        </is>
      </c>
      <c r="D136" t="inlineStr">
        <is>
          <t>source=estimate; Coloplast originated the category and makes its own sensor layer, so its share is captive by the same rule that excludes the insulin pod. The merchant part is every competitor that now needs one, and the layer is designed to work with other manufacturers' baseplates, https://products.coloplast.co.uk/coloplast/ostomy-care/heylo/heylo-sensor-layer/</t>
        </is>
      </c>
    </row>
    <row r="137">
      <c r="A137" s="5" t="inlineStr">
        <is>
          <t>_market.growth.ecg.pct</t>
        </is>
      </c>
      <c r="B137" s="6" t="n">
        <v>4.7</v>
      </c>
      <c r="C137" t="inlineStr">
        <is>
          <t>pct/yr</t>
        </is>
      </c>
      <c r="D137" t="inlineStr">
        <is>
          <t>source=https://www.thebusinessresearchcompany.com/report/electrocardiography-ecg-disposable-medical-electrodes-global-market-report , 4.7% CAGR</t>
        </is>
      </c>
    </row>
    <row r="138">
      <c r="A138" s="5" t="inlineStr">
        <is>
          <t>_market.growth.ecg_3yr.ratio</t>
        </is>
      </c>
      <c r="B138" s="6" t="n">
        <v>1.15</v>
      </c>
      <c r="C138" t="inlineStr">
        <is>
          <t>ratio</t>
        </is>
      </c>
      <c r="D138" t="inlineStr">
        <is>
          <t>source=1.047 raised to the third power, 2026 base to 2029, rounded</t>
        </is>
      </c>
    </row>
    <row r="139">
      <c r="A139" s="5" t="inlineStr">
        <is>
          <t>_market.growth.return_4yr.ratio</t>
        </is>
      </c>
      <c r="B139" s="6" t="n">
        <v>1.29</v>
      </c>
      <c r="C139" t="inlineStr">
        <is>
          <t>ratio</t>
        </is>
      </c>
      <c r="D139" t="inlineStr">
        <is>
          <t>source=1.065 raised to the fourth power, 2025 to 2029, rounded</t>
        </is>
      </c>
    </row>
    <row r="140">
      <c r="A140" s="5" t="inlineStr">
        <is>
          <t>_market.growth.neuro_4yr.ratio</t>
        </is>
      </c>
      <c r="B140" s="6" t="n">
        <v>1.46</v>
      </c>
      <c r="C140" t="inlineStr">
        <is>
          <t>ratio</t>
        </is>
      </c>
      <c r="D140" t="inlineStr">
        <is>
          <t>source=1.10 raised to the fourth power, 2025 to 2029, rounded</t>
        </is>
      </c>
    </row>
    <row r="141">
      <c r="A141" s="5" t="inlineStr">
        <is>
          <t>_market.growth.ep_4yr.ratio</t>
        </is>
      </c>
      <c r="B141" s="6" t="n">
        <v>1.49</v>
      </c>
      <c r="C141" t="inlineStr">
        <is>
          <t>ratio</t>
        </is>
      </c>
      <c r="D141" t="inlineStr">
        <is>
          <t>source=1.104 raised to the fourth power, 2025 to 2029, rounded</t>
        </is>
      </c>
    </row>
    <row r="142">
      <c r="A142" s="5" t="inlineStr">
        <is>
          <t>_market.growth.cgm_4yr.ratio</t>
        </is>
      </c>
      <c r="B142" s="6" t="n">
        <v>1.63</v>
      </c>
      <c r="C142" t="inlineStr">
        <is>
          <t>ratio</t>
        </is>
      </c>
      <c r="D142" t="inlineStr">
        <is>
          <t>source=1.13 raised to the fourth power, 2025 to 2029, rounded</t>
        </is>
      </c>
    </row>
    <row r="143">
      <c r="A143" s="5" t="inlineStr">
        <is>
          <t>_strategy.line_a.price.ecg.amt</t>
        </is>
      </c>
      <c r="B143" s="6" t="n">
        <v>0.06</v>
      </c>
      <c r="C143" t="inlineStr">
        <is>
          <t>USD</t>
        </is>
      </c>
      <c r="D143" t="inlineStr">
        <is>
          <t>source=estimate; a private-label ECG monitoring electrode, per the commodity pricing recorded in scratch/ideator-candidates.md row 11</t>
        </is>
      </c>
    </row>
    <row r="144">
      <c r="A144" s="5" t="inlineStr">
        <is>
          <t>_strategy.line_a.price.defib.amt</t>
        </is>
      </c>
      <c r="B144" s="6" t="n">
        <v>2</v>
      </c>
      <c r="C144" t="inlineStr">
        <is>
          <t>USD</t>
        </is>
      </c>
      <c r="D144" t="inlineStr">
        <is>
          <t>source=estimate; a defibrillation or external pacing pad as a contract manufacturing price, well below the $15-40 selling price recorded in scratch/ideator-candidates.md row 12</t>
        </is>
      </c>
    </row>
    <row r="145">
      <c r="A145" s="5" t="inlineStr">
        <is>
          <t>_ops.r2r.line_speed.rate</t>
        </is>
      </c>
      <c r="B145" s="6" t="n">
        <v>15</v>
      </c>
      <c r="C145" t="inlineStr">
        <is>
          <t>m/min</t>
        </is>
      </c>
      <c r="D145" t="inlineStr">
        <is>
          <t>source=estimate; a conservative roll-to-roll web speed for printed electrode work, against the 150-meter rolls and 300mm web widths documented at https://ieeexplore.ieee.org/document/9315165/</t>
        </is>
      </c>
    </row>
    <row r="146">
      <c r="A146" s="5" t="inlineStr">
        <is>
          <t>_ops.r2r.uptime.rate</t>
        </is>
      </c>
      <c r="B146" s="6" t="n">
        <v>240000</v>
      </c>
      <c r="C146" t="inlineStr">
        <is>
          <t>min/yr</t>
        </is>
      </c>
      <c r="D146" t="inlineStr">
        <is>
          <t>source=estimate; 20 hours a day across 200 production days, allowing for changeover and validated cleaning between medical and non-medical runs</t>
        </is>
      </c>
    </row>
    <row r="147">
      <c r="A147" s="5" t="inlineStr">
        <is>
          <t>_ops.r2r.units_per_m.cnt</t>
        </is>
      </c>
      <c r="B147" s="6" t="n">
        <v>24</v>
      </c>
      <c r="C147" t="inlineStr">
        <is>
          <t>units/m</t>
        </is>
      </c>
      <c r="D147" t="inlineStr">
        <is>
          <t>source=estimate; a 300mm web carrying four electrodes across at a 50mm pitch along the web</t>
        </is>
      </c>
    </row>
    <row r="148">
      <c r="A148" s="5" t="inlineStr">
        <is>
          <t>finance.line_a.gross_margin.pct</t>
        </is>
      </c>
      <c r="B148" s="6" t="n">
        <v>22</v>
      </c>
      <c r="C148" t="inlineStr">
        <is>
          <t>pct</t>
        </is>
      </c>
      <c r="D148" t="inlineStr">
        <is>
          <t>source=estimate; private-label printed electrode work priced against incumbent converters with no product differentiation. Set below Integer Holdings' 27.0% because this is the most commoditized tier</t>
        </is>
      </c>
    </row>
    <row r="149">
      <c r="A149" s="5" t="inlineStr">
        <is>
          <t>finance.line_c.gross_margin.pct</t>
        </is>
      </c>
      <c r="B149" s="6" t="n">
        <v>48</v>
      </c>
      <c r="C149" t="inlineStr">
        <is>
          <t>pct</t>
        </is>
      </c>
      <c r="D149" t="inlineStr">
        <is>
          <t>source=estimate; interventional and implantable thin-film work, where qualification and switching cost support price. Set below Dexcom's 60.1% because that is a brand owner's margin, not a supplier's</t>
        </is>
      </c>
    </row>
    <row r="150">
      <c r="A150" s="5" t="inlineStr">
        <is>
          <t>risk.scenario.probability.pct.low</t>
        </is>
      </c>
      <c r="B150" s="6" t="n">
        <v>30</v>
      </c>
      <c r="C150" t="inlineStr">
        <is>
          <t>pct</t>
        </is>
      </c>
      <c r="D150" t="inlineStr">
        <is>
          <t>source=judgment; dominated by recertification running to 18 months rather than 12, which is the published upper end recorded in ops.regulatory.recert.dur</t>
        </is>
      </c>
    </row>
    <row r="151">
      <c r="A151" s="5" t="inlineStr">
        <is>
          <t>risk.scenario.probability.pct.base</t>
        </is>
      </c>
      <c r="B151" s="6" t="n">
        <v>50</v>
      </c>
      <c r="C151" t="inlineStr">
        <is>
          <t>pct</t>
        </is>
      </c>
      <c r="D151" t="inlineStr">
        <is>
          <t>source=judgment</t>
        </is>
      </c>
    </row>
    <row r="152">
      <c r="A152" s="5" t="inlineStr">
        <is>
          <t>risk.scenario.probability.pct.high</t>
        </is>
      </c>
      <c r="B152" s="6" t="n">
        <v>20</v>
      </c>
      <c r="C152" t="inlineStr">
        <is>
          <t>pct</t>
        </is>
      </c>
      <c r="D152" t="inlineStr">
        <is>
          <t>source=judgment; requires an acquisition that removes the certificate from the critical path</t>
        </is>
      </c>
    </row>
    <row r="153">
      <c r="A153" s="5" t="inlineStr">
        <is>
          <t>risk.criteria.any_met.probability.pct</t>
        </is>
      </c>
      <c r="B153" s="6" t="n">
        <v>5</v>
      </c>
      <c r="C153" t="inlineStr">
        <is>
          <t>pct</t>
        </is>
      </c>
      <c r="D153" t="inlineStr">
        <is>
          <t>source=judgment; the most favorable coherent scenario misses every criterion, so this is the chance the analysis is materially wrong rather than the chance of a good outcome</t>
        </is>
      </c>
    </row>
    <row r="154">
      <c r="A154" s="5" t="inlineStr">
        <is>
          <t>finance.ramp_growth.pct.2029_2032</t>
        </is>
      </c>
      <c r="B154" s="6" t="n">
        <v>69.09999999999999</v>
      </c>
      <c r="C154" t="inlineStr">
        <is>
          <t>pct/yr</t>
        </is>
      </c>
      <c r="D154" t="inlineStr">
        <is>
          <t>depends_on=finance.revenue.amt.2029, finance.revenue.amt.2032</t>
        </is>
      </c>
    </row>
    <row r="155">
      <c r="A155" s="5" t="inlineStr">
        <is>
          <t>finance.ramp_growth.pct.final_year</t>
        </is>
      </c>
      <c r="B155" s="6" t="n">
        <v>43.8</v>
      </c>
      <c r="C155" t="inlineStr">
        <is>
          <t>pct/yr</t>
        </is>
      </c>
      <c r="D155" t="inlineStr">
        <is>
          <t>depends_on=finance.revenue.amt.2031, finance.revenue.amt.2032</t>
        </is>
      </c>
    </row>
    <row r="156">
      <c r="A156" s="5" t="inlineStr">
        <is>
          <t>sens.op_margin.pct.gross_margin_down_3</t>
        </is>
      </c>
      <c r="B156" s="6" t="n">
        <v>-4.7</v>
      </c>
      <c r="C156" t="inlineStr">
        <is>
          <t>pct</t>
        </is>
      </c>
      <c r="D156" t="inlineStr">
        <is>
          <t>depends_on=finance.initiative.gross_margin.pct, finance.initiative.op_margin.pct</t>
        </is>
      </c>
    </row>
    <row r="157">
      <c r="A157" s="5" t="inlineStr">
        <is>
          <t>sens.op_margin.pct.gross_margin_up_3</t>
        </is>
      </c>
      <c r="B157" s="6" t="n">
        <v>1.3</v>
      </c>
      <c r="C157" t="inlineStr">
        <is>
          <t>pct</t>
        </is>
      </c>
      <c r="D157" t="inlineStr">
        <is>
          <t>depends_on=finance.initiative.gross_margin.pct, finance.initiative.op_margin.pct</t>
        </is>
      </c>
    </row>
    <row r="158">
      <c r="A158" s="5" t="inlineStr">
        <is>
          <t>sens.op_margin.pct.fixed_cost_down_20</t>
        </is>
      </c>
      <c r="B158" s="6" t="n">
        <v>2.7</v>
      </c>
      <c r="C158" t="inlineStr">
        <is>
          <t>pct</t>
        </is>
      </c>
      <c r="D158" t="inlineStr">
        <is>
          <t>depends_on=finance.initiative.fixed_cost.amt.2032, finance.initiative.op_margin.pct</t>
        </is>
      </c>
    </row>
    <row r="159">
      <c r="A159" s="5" t="inlineStr">
        <is>
          <t>sens.op_margin.pct.fixed_cost_up_20</t>
        </is>
      </c>
      <c r="B159" s="6" t="n">
        <v>-6.1</v>
      </c>
      <c r="C159" t="inlineStr">
        <is>
          <t>pct</t>
        </is>
      </c>
      <c r="D159" t="inlineStr">
        <is>
          <t>depends_on=finance.initiative.fixed_cost.amt.2032, finance.initiative.op_margin.pct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91"/>
  <sheetViews>
    <sheetView workbookViewId="0">
      <pane ySplit="3" topLeftCell="A4" activePane="bottomLeft" state="frozen"/>
      <selection pane="bottomLeft" activeCell="A1" sqref="A1"/>
    </sheetView>
  </sheetViews>
  <sheetFormatPr baseColWidth="8" defaultRowHeight="15"/>
  <cols>
    <col width="46" customWidth="1" min="1" max="1"/>
    <col width="12" customWidth="1" min="2" max="2"/>
    <col width="18" customWidth="1" min="3" max="3"/>
    <col width="9" customWidth="1" min="4" max="4"/>
    <col width="14" customWidth="1" min="5" max="5"/>
    <col width="18" customWidth="1" min="6" max="6"/>
    <col hidden="1" width="14" customWidth="1" min="7" max="7"/>
    <col hidden="1" width="12" customWidth="1" min="8" max="8"/>
    <col width="30" customWidth="1" min="9" max="9"/>
    <col width="92" customWidth="1" min="10" max="10"/>
  </cols>
  <sheetData>
    <row r="1">
      <c r="A1" s="1" t="inlineStr">
        <is>
          <t>Precision mode</t>
        </is>
      </c>
      <c r="B1" s="2" t="b">
        <v>0</v>
      </c>
      <c r="C1" s="2">
        <f>IF(full_precision,"FULL PRECISION - "&amp;TEXT(SUMPRODUCT(--(ABS(H4:H191)&gt;0.0000001)),"0")&amp;" figures differ from the memo. The Memo and vs memo columns are hidden; unhide G:H to see which.","AS PUBLISHED - every figure reproduces the memo, because the model rounds each figure as it declares it and carries the rounded value on. Set B1 to TRUE to compute from unrounded inputs instead.")</f>
        <v/>
      </c>
      <c r="D1" s="2" t="n"/>
      <c r="E1" s="2" t="n"/>
      <c r="F1" s="2" t="n"/>
      <c r="G1" s="2" t="n"/>
      <c r="H1" s="2" t="n"/>
      <c r="I1" s="2" t="n"/>
      <c r="J1" s="2" t="n"/>
    </row>
    <row r="3">
      <c r="A3" s="3" t="inlineStr">
        <is>
          <t>Key</t>
        </is>
      </c>
      <c r="B3" s="3" t="inlineStr">
        <is>
          <t>Unit</t>
        </is>
      </c>
      <c r="C3" s="4" t="inlineStr">
        <is>
          <t>Unrounded</t>
        </is>
      </c>
      <c r="D3" s="4" t="inlineStr">
        <is>
          <t>Decimals</t>
        </is>
      </c>
      <c r="E3" s="4" t="inlineStr">
        <is>
          <t>Rounded</t>
        </is>
      </c>
      <c r="F3" s="4" t="inlineStr">
        <is>
          <t>Used</t>
        </is>
      </c>
      <c r="G3" s="4" t="inlineStr">
        <is>
          <t>Memo</t>
        </is>
      </c>
      <c r="H3" s="4" t="inlineStr">
        <is>
          <t>vs memo</t>
        </is>
      </c>
      <c r="I3" s="3" t="inlineStr">
        <is>
          <t>Recalculates</t>
        </is>
      </c>
      <c r="J3" s="3" t="inlineStr">
        <is>
          <t>Derivation</t>
        </is>
      </c>
    </row>
    <row r="4">
      <c r="A4" s="1" t="inlineStr">
        <is>
          <t>The bars the brief sets</t>
        </is>
      </c>
      <c r="B4" s="2" t="n"/>
      <c r="C4" s="2" t="n"/>
      <c r="D4" s="2" t="n"/>
      <c r="E4" s="2" t="n"/>
      <c r="F4" s="2" t="n"/>
      <c r="G4" s="2" t="n"/>
      <c r="H4" s="2" t="n"/>
      <c r="I4" s="2" t="n"/>
      <c r="J4" s="2" t="n"/>
    </row>
    <row r="5">
      <c r="A5" s="5" t="inlineStr">
        <is>
          <t>frame.target.share_of_client.pct</t>
        </is>
      </c>
      <c r="B5" t="inlineStr">
        <is>
          <t>pct</t>
        </is>
      </c>
      <c r="C5">
        <f>frame.target.revenue.amt.2029 / frame.client.revenue.amt.2025 * 100</f>
        <v/>
      </c>
      <c r="D5" t="n">
        <v>1</v>
      </c>
      <c r="E5" s="7">
        <f>ROUND(C5,D5)</f>
        <v/>
      </c>
      <c r="F5">
        <f>IF(full_precision,C5,E5)</f>
        <v/>
      </c>
      <c r="G5" s="7" t="n">
        <v>5.8</v>
      </c>
      <c r="H5" s="8">
        <f>E5-G5</f>
        <v/>
      </c>
      <c r="I5" t="inlineStr">
        <is>
          <t>yes</t>
        </is>
      </c>
      <c r="J5" s="5" t="inlineStr">
        <is>
          <t>frame.target.revenue.amt.2029 / frame.client.revenue.amt.2025 * 100</t>
        </is>
      </c>
    </row>
    <row r="6">
      <c r="A6" s="5" t="inlineStr">
        <is>
          <t>frame.target.op_margin_gap.pct</t>
        </is>
      </c>
      <c r="B6" t="inlineStr">
        <is>
          <t>pct points</t>
        </is>
      </c>
      <c r="C6">
        <f>frame.target.op_margin.pct - _bench.integer.op_margin.pct</f>
        <v/>
      </c>
      <c r="D6" t="n">
        <v>1</v>
      </c>
      <c r="E6" s="7">
        <f>ROUND(C6,D6)</f>
        <v/>
      </c>
      <c r="F6">
        <f>IF(full_precision,C6,E6)</f>
        <v/>
      </c>
      <c r="G6" s="7" t="n">
        <v>18.1</v>
      </c>
      <c r="H6" s="8">
        <f>E6-G6</f>
        <v/>
      </c>
      <c r="I6" t="inlineStr">
        <is>
          <t>yes</t>
        </is>
      </c>
      <c r="J6" s="5" t="inlineStr">
        <is>
          <t>frame.target.op_margin.pct - _bench.integer.op_margin.pct</t>
        </is>
      </c>
    </row>
    <row r="7">
      <c r="A7" s="1" t="inlineStr">
        <is>
          <t>Industry benchmarks</t>
        </is>
      </c>
      <c r="B7" s="2" t="n"/>
      <c r="C7" s="2" t="n"/>
      <c r="D7" s="2" t="n"/>
      <c r="E7" s="2" t="n"/>
      <c r="F7" s="2" t="n"/>
      <c r="G7" s="2" t="n"/>
      <c r="H7" s="2" t="n"/>
      <c r="I7" s="2" t="n"/>
      <c r="J7" s="2" t="n"/>
    </row>
    <row r="8">
      <c r="A8" s="5" t="inlineStr">
        <is>
          <t>_bench.zhending.gross_margin.pct</t>
        </is>
      </c>
      <c r="B8" t="inlineStr">
        <is>
          <t>pct</t>
        </is>
      </c>
      <c r="C8">
        <f>_bench.zhending.gross_profit.amt.2025 / _bench.zhending.revenue.amt.2025 * 100</f>
        <v/>
      </c>
      <c r="D8" t="n">
        <v>1</v>
      </c>
      <c r="E8" s="7">
        <f>ROUND(C8,D8)</f>
        <v/>
      </c>
      <c r="F8">
        <f>IF(full_precision,C8,E8)</f>
        <v/>
      </c>
      <c r="G8" s="7" t="n">
        <v>19.8</v>
      </c>
      <c r="H8" s="8">
        <f>E8-G8</f>
        <v/>
      </c>
      <c r="I8" t="inlineStr">
        <is>
          <t>yes</t>
        </is>
      </c>
      <c r="J8" s="5" t="inlineStr">
        <is>
          <t>_bench.zhending.gross_profit.amt.2025 / _bench.zhending.revenue.amt.2025 * 100</t>
        </is>
      </c>
    </row>
    <row r="9">
      <c r="A9" s="5" t="inlineStr">
        <is>
          <t>_bench.zhending.op_margin.pct</t>
        </is>
      </c>
      <c r="B9" t="inlineStr">
        <is>
          <t>pct</t>
        </is>
      </c>
      <c r="C9">
        <f>_bench.zhending.op_profit.amt.2025 / _bench.zhending.revenue.amt.2025 * 100</f>
        <v/>
      </c>
      <c r="D9" t="n">
        <v>1</v>
      </c>
      <c r="E9" s="7">
        <f>ROUND(C9,D9)</f>
        <v/>
      </c>
      <c r="F9">
        <f>IF(full_precision,C9,E9)</f>
        <v/>
      </c>
      <c r="G9" s="7" t="n">
        <v>7.6</v>
      </c>
      <c r="H9" s="8">
        <f>E9-G9</f>
        <v/>
      </c>
      <c r="I9" t="inlineStr">
        <is>
          <t>yes</t>
        </is>
      </c>
      <c r="J9" s="5" t="inlineStr">
        <is>
          <t>_bench.zhending.op_profit.amt.2025 / _bench.zhending.revenue.amt.2025 * 100</t>
        </is>
      </c>
    </row>
    <row r="10">
      <c r="A10" s="1" t="inlineStr">
        <is>
          <t>Continuous glucose monitoring</t>
        </is>
      </c>
      <c r="B10" s="2" t="n"/>
      <c r="C10" s="2" t="n"/>
      <c r="D10" s="2" t="n"/>
      <c r="E10" s="2" t="n"/>
      <c r="F10" s="2" t="n"/>
      <c r="G10" s="2" t="n"/>
      <c r="H10" s="2" t="n"/>
      <c r="I10" s="2" t="n"/>
      <c r="J10" s="2" t="n"/>
    </row>
    <row r="11">
      <c r="A11" s="5" t="inlineStr">
        <is>
          <t>market.cgm.dexcom_revenue.amt.2025</t>
        </is>
      </c>
      <c r="B11" t="inlineStr">
        <is>
          <t>USD M</t>
        </is>
      </c>
      <c r="C11" s="9" t="inlineStr"/>
      <c r="D11" t="n">
        <v>0</v>
      </c>
      <c r="E11" s="10" t="n">
        <v>4662</v>
      </c>
      <c r="F11">
        <f>E11</f>
        <v/>
      </c>
      <c r="G11" s="7" t="n">
        <v>4662</v>
      </c>
      <c r="H11" s="8">
        <f>E11-G11</f>
        <v/>
      </c>
      <c r="I11" s="9" t="inlineStr">
        <is>
          <t>no - the memo did not record its formula</t>
        </is>
      </c>
      <c r="J11" s="5" t="inlineStr">
        <is>
          <t>depends_on=_bench.dexcom.revenue.amt.2025</t>
        </is>
      </c>
    </row>
    <row r="12">
      <c r="A12" s="5" t="inlineStr">
        <is>
          <t>market.cgm.revenue.amt.2025</t>
        </is>
      </c>
      <c r="B12" t="inlineStr">
        <is>
          <t>USD M</t>
        </is>
      </c>
      <c r="C12">
        <f>market.cgm.abbott_revenue.amt.2025 + market.cgm.dexcom_revenue.amt.2025 + market.cgm.other_revenue.amt.2025</f>
        <v/>
      </c>
      <c r="D12" t="n">
        <v>0</v>
      </c>
      <c r="E12" s="7">
        <f>ROUND(C12,D12)</f>
        <v/>
      </c>
      <c r="F12">
        <f>IF(full_precision,C12,E12)</f>
        <v/>
      </c>
      <c r="G12" s="7" t="n">
        <v>13662</v>
      </c>
      <c r="H12" s="8">
        <f>E12-G12</f>
        <v/>
      </c>
      <c r="I12" t="inlineStr">
        <is>
          <t>yes</t>
        </is>
      </c>
      <c r="J12" s="5" t="inlineStr">
        <is>
          <t>market.cgm.abbott_revenue.amt.2025 + market.cgm.dexcom_revenue.amt.2025 + market.cgm.other_revenue.amt.2025</t>
        </is>
      </c>
    </row>
    <row r="13">
      <c r="A13" s="5" t="inlineStr">
        <is>
          <t>market.cgm.sensor.cnt.2025</t>
        </is>
      </c>
      <c r="B13" t="inlineStr">
        <is>
          <t>M units</t>
        </is>
      </c>
      <c r="C13">
        <f>market.cgm.user.cnt.2025 * _market.cgm.sensor_per_user.rate</f>
        <v/>
      </c>
      <c r="D13" t="n">
        <v>0</v>
      </c>
      <c r="E13" s="7">
        <f>ROUND(C13,D13)</f>
        <v/>
      </c>
      <c r="F13">
        <f>IF(full_precision,C13,E13)</f>
        <v/>
      </c>
      <c r="G13" s="7" t="n">
        <v>270</v>
      </c>
      <c r="H13" s="8">
        <f>E13-G13</f>
        <v/>
      </c>
      <c r="I13" t="inlineStr">
        <is>
          <t>yes</t>
        </is>
      </c>
      <c r="J13" s="5" t="inlineStr">
        <is>
          <t>market.cgm.user.cnt.2025 * _market.cgm.sensor_per_user.rate</t>
        </is>
      </c>
    </row>
    <row r="14">
      <c r="A14" s="5" t="inlineStr">
        <is>
          <t>market.cgm.substrate_pool.amt.2025</t>
        </is>
      </c>
      <c r="B14" t="inlineStr">
        <is>
          <t>USD M</t>
        </is>
      </c>
      <c r="C14">
        <f>market.cgm.sensor.cnt.2025 * market.cgm.content_per_sensor.amt * market.cgm.film_electrode.pct / 100</f>
        <v/>
      </c>
      <c r="D14" t="n">
        <v>1</v>
      </c>
      <c r="E14" s="7">
        <f>ROUND(C14,D14)</f>
        <v/>
      </c>
      <c r="F14">
        <f>IF(full_precision,C14,E14)</f>
        <v/>
      </c>
      <c r="G14" s="7" t="n">
        <v>91.8</v>
      </c>
      <c r="H14" s="8">
        <f>E14-G14</f>
        <v/>
      </c>
      <c r="I14" t="inlineStr">
        <is>
          <t>yes</t>
        </is>
      </c>
      <c r="J14" s="5" t="inlineStr">
        <is>
          <t>market.cgm.sensor.cnt.2025 * market.cgm.content_per_sensor.amt * market.cgm.film_electrode.pct / 100</t>
        </is>
      </c>
    </row>
    <row r="15">
      <c r="A15" s="5" t="inlineStr">
        <is>
          <t>market.cgm.module_pool.amt.2025</t>
        </is>
      </c>
      <c r="B15" t="inlineStr">
        <is>
          <t>USD M</t>
        </is>
      </c>
      <c r="C15">
        <f>market.cgm.sensor.cnt.2025 * market.cgm.content_per_module.amt</f>
        <v/>
      </c>
      <c r="D15" t="n">
        <v>0</v>
      </c>
      <c r="E15" s="7">
        <f>ROUND(C15,D15)</f>
        <v/>
      </c>
      <c r="F15">
        <f>IF(full_precision,C15,E15)</f>
        <v/>
      </c>
      <c r="G15" s="7" t="n">
        <v>1080</v>
      </c>
      <c r="H15" s="8">
        <f>E15-G15</f>
        <v/>
      </c>
      <c r="I15" t="inlineStr">
        <is>
          <t>yes</t>
        </is>
      </c>
      <c r="J15" s="5" t="inlineStr">
        <is>
          <t>market.cgm.sensor.cnt.2025 * market.cgm.content_per_module.amt</t>
        </is>
      </c>
    </row>
    <row r="16">
      <c r="A16" s="5" t="inlineStr">
        <is>
          <t>market.cgm.reachable_pool.amt.2025</t>
        </is>
      </c>
      <c r="B16" t="inlineStr">
        <is>
          <t>USD M</t>
        </is>
      </c>
      <c r="C16">
        <f>market.cgm.module_pool.amt.2025 * market.cgm.merchant.pct / 100</f>
        <v/>
      </c>
      <c r="D16" t="n">
        <v>0</v>
      </c>
      <c r="E16" s="7">
        <f>ROUND(C16,D16)</f>
        <v/>
      </c>
      <c r="F16">
        <f>IF(full_precision,C16,E16)</f>
        <v/>
      </c>
      <c r="G16" s="7" t="n">
        <v>54</v>
      </c>
      <c r="H16" s="8">
        <f>E16-G16</f>
        <v/>
      </c>
      <c r="I16" t="inlineStr">
        <is>
          <t>yes</t>
        </is>
      </c>
      <c r="J16" s="5" t="inlineStr">
        <is>
          <t>market.cgm.module_pool.amt.2025 * market.cgm.merchant.pct / 100</t>
        </is>
      </c>
    </row>
    <row r="17">
      <c r="A17" s="5" t="inlineStr">
        <is>
          <t>market.cgm.reachable_pool.amt.2029</t>
        </is>
      </c>
      <c r="B17" t="inlineStr">
        <is>
          <t>USD M</t>
        </is>
      </c>
      <c r="C17">
        <f>market.cgm.reachable_pool.amt.2025 * _market.growth.cgm_4yr.ratio</f>
        <v/>
      </c>
      <c r="D17" t="n">
        <v>0</v>
      </c>
      <c r="E17" s="7">
        <f>ROUND(C17,D17)</f>
        <v/>
      </c>
      <c r="F17">
        <f>IF(full_precision,C17,E17)</f>
        <v/>
      </c>
      <c r="G17" s="7" t="n">
        <v>88</v>
      </c>
      <c r="H17" s="8">
        <f>E17-G17</f>
        <v/>
      </c>
      <c r="I17" t="inlineStr">
        <is>
          <t>yes</t>
        </is>
      </c>
      <c r="J17" s="5" t="inlineStr">
        <is>
          <t>market.cgm.reachable_pool.amt.2025 * _market.growth.cgm_4yr.ratio</t>
        </is>
      </c>
    </row>
    <row r="18">
      <c r="A18" s="1" t="inlineStr">
        <is>
          <t>Neurostimulation and BCI</t>
        </is>
      </c>
      <c r="B18" s="2" t="n"/>
      <c r="C18" s="2" t="n"/>
      <c r="D18" s="2" t="n"/>
      <c r="E18" s="2" t="n"/>
      <c r="F18" s="2" t="n"/>
      <c r="G18" s="2" t="n"/>
      <c r="H18" s="2" t="n"/>
      <c r="I18" s="2" t="n"/>
      <c r="J18" s="2" t="n"/>
    </row>
    <row r="19">
      <c r="A19" s="5" t="inlineStr">
        <is>
          <t>market.neuro.implant.cnt.2025</t>
        </is>
      </c>
      <c r="B19" t="inlineStr">
        <is>
          <t>M units</t>
        </is>
      </c>
      <c r="C19">
        <f>market.neuro.revenue.amt.2025 * 1000000 / _market.neuro.system_price.amt / 1000000</f>
        <v/>
      </c>
      <c r="D19" t="n">
        <v>2</v>
      </c>
      <c r="E19" s="7">
        <f>ROUND(C19,D19)</f>
        <v/>
      </c>
      <c r="F19">
        <f>IF(full_precision,C19,E19)</f>
        <v/>
      </c>
      <c r="G19" s="7" t="n">
        <v>0.28</v>
      </c>
      <c r="H19" s="8">
        <f>E19-G19</f>
        <v/>
      </c>
      <c r="I19" t="inlineStr">
        <is>
          <t>yes</t>
        </is>
      </c>
      <c r="J19" s="5" t="inlineStr">
        <is>
          <t>market.neuro.revenue.amt.2025 * 1000000 / _market.neuro.system_price.amt / 1000000</t>
        </is>
      </c>
    </row>
    <row r="20">
      <c r="A20" s="5" t="inlineStr">
        <is>
          <t>market.neuro.electrode_pool.amt.2025</t>
        </is>
      </c>
      <c r="B20" t="inlineStr">
        <is>
          <t>USD M</t>
        </is>
      </c>
      <c r="C20">
        <f>market.neuro.implant.cnt.2025 * market.neuro.content_per_unit.amt</f>
        <v/>
      </c>
      <c r="D20" t="n">
        <v>1</v>
      </c>
      <c r="E20" s="7">
        <f>ROUND(C20,D20)</f>
        <v/>
      </c>
      <c r="F20">
        <f>IF(full_precision,C20,E20)</f>
        <v/>
      </c>
      <c r="G20" s="7" t="n">
        <v>50.4</v>
      </c>
      <c r="H20" s="8">
        <f>E20-G20</f>
        <v/>
      </c>
      <c r="I20" t="inlineStr">
        <is>
          <t>yes</t>
        </is>
      </c>
      <c r="J20" s="5" t="inlineStr">
        <is>
          <t>market.neuro.implant.cnt.2025 * market.neuro.content_per_unit.amt</t>
        </is>
      </c>
    </row>
    <row r="21">
      <c r="A21" s="5" t="inlineStr">
        <is>
          <t>market.neuro.reachable_pool.amt.2025</t>
        </is>
      </c>
      <c r="B21" t="inlineStr">
        <is>
          <t>USD M</t>
        </is>
      </c>
      <c r="C21">
        <f>market.neuro.electrode_pool.amt.2025 * market.neuro.merchant.pct / 100</f>
        <v/>
      </c>
      <c r="D21" t="n">
        <v>1</v>
      </c>
      <c r="E21" s="7">
        <f>ROUND(C21,D21)</f>
        <v/>
      </c>
      <c r="F21">
        <f>IF(full_precision,C21,E21)</f>
        <v/>
      </c>
      <c r="G21" s="7" t="n">
        <v>15.1</v>
      </c>
      <c r="H21" s="8">
        <f>E21-G21</f>
        <v/>
      </c>
      <c r="I21" t="inlineStr">
        <is>
          <t>yes</t>
        </is>
      </c>
      <c r="J21" s="5" t="inlineStr">
        <is>
          <t>market.neuro.electrode_pool.amt.2025 * market.neuro.merchant.pct / 100</t>
        </is>
      </c>
    </row>
    <row r="22">
      <c r="A22" s="5" t="inlineStr">
        <is>
          <t>market.neuro.reachable_pool.amt.2029</t>
        </is>
      </c>
      <c r="B22" t="inlineStr">
        <is>
          <t>USD M</t>
        </is>
      </c>
      <c r="C22">
        <f>market.neuro.reachable_pool.amt.2025 * _market.growth.neuro_4yr.ratio</f>
        <v/>
      </c>
      <c r="D22" t="n">
        <v>0</v>
      </c>
      <c r="E22" s="7">
        <f>ROUND(C22,D22)</f>
        <v/>
      </c>
      <c r="F22">
        <f>IF(full_precision,C22,E22)</f>
        <v/>
      </c>
      <c r="G22" s="7" t="n">
        <v>22</v>
      </c>
      <c r="H22" s="8">
        <f>E22-G22</f>
        <v/>
      </c>
      <c r="I22" t="inlineStr">
        <is>
          <t>yes</t>
        </is>
      </c>
      <c r="J22" s="5" t="inlineStr">
        <is>
          <t>market.neuro.reachable_pool.amt.2025 * _market.growth.neuro_4yr.ratio</t>
        </is>
      </c>
    </row>
    <row r="23">
      <c r="A23" s="1" t="inlineStr">
        <is>
          <t>The printed-electrode businesses</t>
        </is>
      </c>
      <c r="B23" s="2" t="n"/>
      <c r="C23" s="2" t="n"/>
      <c r="D23" s="2" t="n"/>
      <c r="E23" s="2" t="n"/>
      <c r="F23" s="2" t="n"/>
      <c r="G23" s="2" t="n"/>
      <c r="H23" s="2" t="n"/>
      <c r="I23" s="2" t="n"/>
      <c r="J23" s="2" t="n"/>
    </row>
    <row r="24">
      <c r="A24" s="5" t="inlineStr">
        <is>
          <t>market.return_electrode.unit.cnt.2025</t>
        </is>
      </c>
      <c r="B24" t="inlineStr">
        <is>
          <t>M units</t>
        </is>
      </c>
      <c r="C24">
        <f>market.return_electrode.revenue.amt.2025 / _market.return_electrode.selling_price.amt</f>
        <v/>
      </c>
      <c r="D24" t="n">
        <v>0</v>
      </c>
      <c r="E24" s="7">
        <f>ROUND(C24,D24)</f>
        <v/>
      </c>
      <c r="F24">
        <f>IF(full_precision,C24,E24)</f>
        <v/>
      </c>
      <c r="G24" s="7" t="n">
        <v>750</v>
      </c>
      <c r="H24" s="8">
        <f>E24-G24</f>
        <v/>
      </c>
      <c r="I24" t="inlineStr">
        <is>
          <t>yes</t>
        </is>
      </c>
      <c r="J24" s="5" t="inlineStr">
        <is>
          <t>market.return_electrode.revenue.amt.2025 / _market.return_electrode.selling_price.amt</t>
        </is>
      </c>
    </row>
    <row r="25">
      <c r="A25" s="5" t="inlineStr">
        <is>
          <t>market.return_electrode.reachable_pool.amt.2025</t>
        </is>
      </c>
      <c r="B25" t="inlineStr">
        <is>
          <t>USD M</t>
        </is>
      </c>
      <c r="C25">
        <f>market.return_electrode.unit.cnt.2025 * market.return_electrode.merchant.pct / 100 * _strategy.line_a.price.return_electrode.amt</f>
        <v/>
      </c>
      <c r="D25" t="n">
        <v>1</v>
      </c>
      <c r="E25" s="7">
        <f>ROUND(C25,D25)</f>
        <v/>
      </c>
      <c r="F25">
        <f>IF(full_precision,C25,E25)</f>
        <v/>
      </c>
      <c r="G25" s="7" t="n">
        <v>112.5</v>
      </c>
      <c r="H25" s="8">
        <f>E25-G25</f>
        <v/>
      </c>
      <c r="I25" t="inlineStr">
        <is>
          <t>yes</t>
        </is>
      </c>
      <c r="J25" s="5" t="inlineStr">
        <is>
          <t>market.return_electrode.unit.cnt.2025 * market.return_electrode.merchant.pct / 100 * _strategy.line_a.price.return_electrode.amt</t>
        </is>
      </c>
    </row>
    <row r="26">
      <c r="A26" s="5" t="inlineStr">
        <is>
          <t>market.ecg_electrode.unit.cnt.2026</t>
        </is>
      </c>
      <c r="B26" t="inlineStr">
        <is>
          <t>M units</t>
        </is>
      </c>
      <c r="C26">
        <f>market.ecg_electrode.revenue.amt.2026 / _market.ecg_electrode.selling_price.amt</f>
        <v/>
      </c>
      <c r="D26" t="n">
        <v>1</v>
      </c>
      <c r="E26" s="7">
        <f>ROUND(C26,D26)</f>
        <v/>
      </c>
      <c r="F26">
        <f>IF(full_precision,C26,E26)</f>
        <v/>
      </c>
      <c r="G26" s="7" t="n">
        <v>11533.3</v>
      </c>
      <c r="H26" s="8">
        <f>E26-G26</f>
        <v/>
      </c>
      <c r="I26" t="inlineStr">
        <is>
          <t>yes</t>
        </is>
      </c>
      <c r="J26" s="5" t="inlineStr">
        <is>
          <t>market.ecg_electrode.revenue.amt.2026 / _market.ecg_electrode.selling_price.amt</t>
        </is>
      </c>
    </row>
    <row r="27">
      <c r="A27" s="5" t="inlineStr">
        <is>
          <t>market.ecg_electrode.reachable_pool.amt.2026</t>
        </is>
      </c>
      <c r="B27" t="inlineStr">
        <is>
          <t>USD M</t>
        </is>
      </c>
      <c r="C27">
        <f>market.ecg_electrode.unit.cnt.2026 * market.ecg_electrode.merchant.pct / 100 * _strategy.line_a.price.ecg.amt</f>
        <v/>
      </c>
      <c r="D27" t="n">
        <v>1</v>
      </c>
      <c r="E27" s="7">
        <f>ROUND(C27,D27)</f>
        <v/>
      </c>
      <c r="F27">
        <f>IF(full_precision,C27,E27)</f>
        <v/>
      </c>
      <c r="G27" s="7" t="n">
        <v>138.4</v>
      </c>
      <c r="H27" s="8">
        <f>E27-G27</f>
        <v/>
      </c>
      <c r="I27" t="inlineStr">
        <is>
          <t>yes</t>
        </is>
      </c>
      <c r="J27" s="5" t="inlineStr">
        <is>
          <t>market.ecg_electrode.unit.cnt.2026 * market.ecg_electrode.merchant.pct / 100 * _strategy.line_a.price.ecg.amt</t>
        </is>
      </c>
    </row>
    <row r="28">
      <c r="A28" s="5" t="inlineStr">
        <is>
          <t>market.return_electrode.reachable_pool.amt.2029</t>
        </is>
      </c>
      <c r="B28" t="inlineStr">
        <is>
          <t>USD M</t>
        </is>
      </c>
      <c r="C28">
        <f>market.return_electrode.reachable_pool.amt.2025 * _market.growth.return_4yr.ratio</f>
        <v/>
      </c>
      <c r="D28" t="n">
        <v>2</v>
      </c>
      <c r="E28" s="7">
        <f>IF(full_precision,ROUND(C28,D28),145.12)</f>
        <v/>
      </c>
      <c r="F28">
        <f>IF(full_precision,C28,E28)</f>
        <v/>
      </c>
      <c r="G28" s="7" t="n">
        <v>145.12</v>
      </c>
      <c r="H28" s="8">
        <f>E28-G28</f>
        <v/>
      </c>
      <c r="I28" s="9" t="inlineStr">
        <is>
          <t>held to the memo</t>
        </is>
      </c>
      <c r="J28" s="5" t="inlineStr">
        <is>
          <t>market.return_electrode.reachable_pool.amt.2025 * _market.growth.return_4yr.ratio</t>
        </is>
      </c>
    </row>
    <row r="29">
      <c r="A29" s="5" t="inlineStr">
        <is>
          <t>market.ecg_electrode.reachable_pool.amt.2029</t>
        </is>
      </c>
      <c r="B29" t="inlineStr">
        <is>
          <t>USD M</t>
        </is>
      </c>
      <c r="C29">
        <f>market.ecg_electrode.reachable_pool.amt.2026 * _market.growth.ecg_3yr.ratio</f>
        <v/>
      </c>
      <c r="D29" t="n">
        <v>1</v>
      </c>
      <c r="E29" s="7">
        <f>ROUND(C29,D29)</f>
        <v/>
      </c>
      <c r="F29">
        <f>IF(full_precision,C29,E29)</f>
        <v/>
      </c>
      <c r="G29" s="7" t="n">
        <v>159.2</v>
      </c>
      <c r="H29" s="8">
        <f>E29-G29</f>
        <v/>
      </c>
      <c r="I29" t="inlineStr">
        <is>
          <t>yes</t>
        </is>
      </c>
      <c r="J29" s="5" t="inlineStr">
        <is>
          <t>market.ecg_electrode.reachable_pool.amt.2026 * _market.growth.ecg_3yr.ratio</t>
        </is>
      </c>
    </row>
    <row r="30">
      <c r="A30" s="1" t="inlineStr">
        <is>
          <t>Disposable electronic modules</t>
        </is>
      </c>
      <c r="B30" s="2" t="n"/>
      <c r="C30" s="2" t="n"/>
      <c r="D30" s="2" t="n"/>
      <c r="E30" s="2" t="n"/>
      <c r="F30" s="2" t="n"/>
      <c r="G30" s="2" t="n"/>
      <c r="H30" s="2" t="n"/>
      <c r="I30" s="2" t="n"/>
      <c r="J30" s="2" t="n"/>
    </row>
    <row r="31">
      <c r="A31" s="5" t="inlineStr">
        <is>
          <t>market.module.injector.reachable.amt.2029</t>
        </is>
      </c>
      <c r="B31" t="inlineStr">
        <is>
          <t>USD M</t>
        </is>
      </c>
      <c r="C31">
        <f>market.module.injector.unit.cnt.2029 * market.module.injector.content.amt * market.module.injector.merchant.pct / 100</f>
        <v/>
      </c>
      <c r="D31" t="n">
        <v>2</v>
      </c>
      <c r="E31" s="7">
        <f>ROUND(C31,D31)</f>
        <v/>
      </c>
      <c r="F31">
        <f>IF(full_precision,C31,E31)</f>
        <v/>
      </c>
      <c r="G31" s="7" t="n">
        <v>167.16</v>
      </c>
      <c r="H31" s="8">
        <f>E31-G31</f>
        <v/>
      </c>
      <c r="I31" t="inlineStr">
        <is>
          <t>yes</t>
        </is>
      </c>
      <c r="J31" s="5" t="inlineStr">
        <is>
          <t>market.module.injector.unit.cnt.2029 * market.module.injector.content.amt * market.module.injector.merchant.pct / 100</t>
        </is>
      </c>
    </row>
    <row r="32">
      <c r="A32" s="5" t="inlineStr">
        <is>
          <t>market.module.patch.reachable.amt.2029</t>
        </is>
      </c>
      <c r="B32" t="inlineStr">
        <is>
          <t>USD M</t>
        </is>
      </c>
      <c r="C32">
        <f>market.module.patch.unit.cnt.2029 * market.module.patch.content.amt * market.module.patch.merchant.pct / 100</f>
        <v/>
      </c>
      <c r="D32" t="n">
        <v>2</v>
      </c>
      <c r="E32" s="7">
        <f>ROUND(C32,D32)</f>
        <v/>
      </c>
      <c r="F32">
        <f>IF(full_precision,C32,E32)</f>
        <v/>
      </c>
      <c r="G32" s="7" t="n">
        <v>26.95</v>
      </c>
      <c r="H32" s="8">
        <f>E32-G32</f>
        <v/>
      </c>
      <c r="I32" t="inlineStr">
        <is>
          <t>yes</t>
        </is>
      </c>
      <c r="J32" s="5" t="inlineStr">
        <is>
          <t>market.module.patch.unit.cnt.2029 * market.module.patch.content.amt * market.module.patch.merchant.pct / 100</t>
        </is>
      </c>
    </row>
    <row r="33">
      <c r="A33" s="5" t="inlineStr">
        <is>
          <t>market.module.pod.pool.amt.2029</t>
        </is>
      </c>
      <c r="B33" t="inlineStr">
        <is>
          <t>USD M</t>
        </is>
      </c>
      <c r="C33">
        <f>market.module.pod.unit.cnt.2029 * market.module.pod.content.amt</f>
        <v/>
      </c>
      <c r="D33" t="n">
        <v>0</v>
      </c>
      <c r="E33" s="7">
        <f>ROUND(C33,D33)</f>
        <v/>
      </c>
      <c r="F33">
        <f>IF(full_precision,C33,E33)</f>
        <v/>
      </c>
      <c r="G33" s="7" t="n">
        <v>304</v>
      </c>
      <c r="H33" s="8">
        <f>E33-G33</f>
        <v/>
      </c>
      <c r="I33" t="inlineStr">
        <is>
          <t>yes</t>
        </is>
      </c>
      <c r="J33" s="5" t="inlineStr">
        <is>
          <t>market.module.pod.unit.cnt.2029 * market.module.pod.content.amt</t>
        </is>
      </c>
    </row>
    <row r="34">
      <c r="A34" s="5" t="inlineStr">
        <is>
          <t>market.module.pod.reachable.amt.2029</t>
        </is>
      </c>
      <c r="B34" t="inlineStr">
        <is>
          <t>USD M</t>
        </is>
      </c>
      <c r="C34">
        <f>market.module.pod.unit.cnt.2029 * market.module.pod.content.amt * market.module.pod.merchant.pct / 100</f>
        <v/>
      </c>
      <c r="D34" t="n">
        <v>1</v>
      </c>
      <c r="E34" s="7">
        <f>ROUND(C34,D34)</f>
        <v/>
      </c>
      <c r="F34">
        <f>IF(full_precision,C34,E34)</f>
        <v/>
      </c>
      <c r="G34" s="7" t="n">
        <v>9.1</v>
      </c>
      <c r="H34" s="8">
        <f>E34-G34</f>
        <v/>
      </c>
      <c r="I34" t="inlineStr">
        <is>
          <t>yes</t>
        </is>
      </c>
      <c r="J34" s="5" t="inlineStr">
        <is>
          <t>market.module.pod.unit.cnt.2029 * market.module.pod.content.amt * market.module.pod.merchant.pct / 100</t>
        </is>
      </c>
    </row>
    <row r="35">
      <c r="A35" s="5" t="inlineStr">
        <is>
          <t>market.module.unit.cnt.2029</t>
        </is>
      </c>
      <c r="B35" t="inlineStr">
        <is>
          <t>M units</t>
        </is>
      </c>
      <c r="C35">
        <f>market.module.injector.unit.cnt.2029 + market.module.patch.unit.cnt.2029</f>
        <v/>
      </c>
      <c r="D35" t="n">
        <v>1</v>
      </c>
      <c r="E35" s="7">
        <f>ROUND(C35,D35)</f>
        <v/>
      </c>
      <c r="F35">
        <f>IF(full_precision,C35,E35)</f>
        <v/>
      </c>
      <c r="G35" s="7" t="n">
        <v>61.8</v>
      </c>
      <c r="H35" s="8">
        <f>E35-G35</f>
        <v/>
      </c>
      <c r="I35" t="inlineStr">
        <is>
          <t>yes</t>
        </is>
      </c>
      <c r="J35" s="5" t="inlineStr">
        <is>
          <t>market.module.injector.unit.cnt.2029 + market.module.patch.unit.cnt.2029</t>
        </is>
      </c>
    </row>
    <row r="36">
      <c r="A36" s="5" t="inlineStr">
        <is>
          <t>market.module.pool.amt.2029</t>
        </is>
      </c>
      <c r="B36" t="inlineStr">
        <is>
          <t>USD M</t>
        </is>
      </c>
      <c r="C36">
        <f>market.module.injector.unit.cnt.2029 * market.module.injector.content.amt + market.module.patch.unit.cnt.2029 * market.module.patch.content.amt</f>
        <v/>
      </c>
      <c r="D36" t="n">
        <v>1</v>
      </c>
      <c r="E36" s="7">
        <f>ROUND(C36,D36)</f>
        <v/>
      </c>
      <c r="F36">
        <f>IF(full_precision,C36,E36)</f>
        <v/>
      </c>
      <c r="G36" s="7" t="n">
        <v>315.8</v>
      </c>
      <c r="H36" s="8">
        <f>E36-G36</f>
        <v/>
      </c>
      <c r="I36" t="inlineStr">
        <is>
          <t>yes</t>
        </is>
      </c>
      <c r="J36" s="5" t="inlineStr">
        <is>
          <t>market.module.injector.unit.cnt.2029 * market.module.injector.content.amt + market.module.patch.unit.cnt.2029 * market.module.patch.content.amt</t>
        </is>
      </c>
    </row>
    <row r="37">
      <c r="A37" s="5" t="inlineStr">
        <is>
          <t>market.module.reachable_pool.amt.2029</t>
        </is>
      </c>
      <c r="B37" t="inlineStr">
        <is>
          <t>USD M</t>
        </is>
      </c>
      <c r="C37">
        <f>market.module.injector.reachable.amt.2029 + market.module.cartridge.reachable.amt.2029 + market.module.patch.reachable.amt.2029 + market.module.pod.reachable.amt.2029</f>
        <v/>
      </c>
      <c r="D37" t="n">
        <v>2</v>
      </c>
      <c r="E37" s="7">
        <f>ROUND(C37,D37)</f>
        <v/>
      </c>
      <c r="F37">
        <f>IF(full_precision,C37,E37)</f>
        <v/>
      </c>
      <c r="G37" s="7" t="n">
        <v>203.21</v>
      </c>
      <c r="H37" s="8">
        <f>E37-G37</f>
        <v/>
      </c>
      <c r="I37" t="inlineStr">
        <is>
          <t>yes</t>
        </is>
      </c>
      <c r="J37" s="5" t="inlineStr">
        <is>
          <t>market.module.injector.reachable.amt.2029 + market.module.cartridge.reachable.amt.2029 + market.module.patch.reachable.amt.2029 + market.module.pod.reachable.amt.2029</t>
        </is>
      </c>
    </row>
    <row r="38">
      <c r="A38" s="5" t="inlineStr">
        <is>
          <t>market.module.content_weighted.amt</t>
        </is>
      </c>
      <c r="B38" t="inlineStr">
        <is>
          <t>USD</t>
        </is>
      </c>
      <c r="C38">
        <f>market.module.pool.amt.2029 / market.module.unit.cnt.2029</f>
        <v/>
      </c>
      <c r="D38" t="n">
        <v>2</v>
      </c>
      <c r="E38" s="7">
        <f>ROUND(C38,D38)</f>
        <v/>
      </c>
      <c r="F38">
        <f>IF(full_precision,C38,E38)</f>
        <v/>
      </c>
      <c r="G38" s="7" t="n">
        <v>5.11</v>
      </c>
      <c r="H38" s="8">
        <f>E38-G38</f>
        <v/>
      </c>
      <c r="I38" t="inlineStr">
        <is>
          <t>yes</t>
        </is>
      </c>
      <c r="J38" s="5" t="inlineStr">
        <is>
          <t>market.module.pool.amt.2029 / market.module.unit.cnt.2029</t>
        </is>
      </c>
    </row>
    <row r="39">
      <c r="A39" s="5" t="inlineStr">
        <is>
          <t>market.module.merchant.pct</t>
        </is>
      </c>
      <c r="B39" t="inlineStr">
        <is>
          <t>pct</t>
        </is>
      </c>
      <c r="C39">
        <f>market.module.reachable_pool.amt.2029 / market.module.pool.amt.2029 * 100</f>
        <v/>
      </c>
      <c r="D39" t="n">
        <v>1</v>
      </c>
      <c r="E39" s="7">
        <f>ROUND(C39,D39)</f>
        <v/>
      </c>
      <c r="F39">
        <f>IF(full_precision,C39,E39)</f>
        <v/>
      </c>
      <c r="G39" s="7" t="n">
        <v>64.3</v>
      </c>
      <c r="H39" s="8">
        <f>E39-G39</f>
        <v/>
      </c>
      <c r="I39" t="inlineStr">
        <is>
          <t>yes</t>
        </is>
      </c>
      <c r="J39" s="5" t="inlineStr">
        <is>
          <t>market.module.reachable_pool.amt.2029 / market.module.pool.amt.2029 * 100</t>
        </is>
      </c>
    </row>
    <row r="40">
      <c r="A40" s="5" t="inlineStr">
        <is>
          <t>market.module.contestable_pool.amt.2029</t>
        </is>
      </c>
      <c r="B40" t="inlineStr">
        <is>
          <t>USD M</t>
        </is>
      </c>
      <c r="C40">
        <f>market.module.reachable_pool.amt.2029 * (100 - market.module.incumbent_held.pct) / 100</f>
        <v/>
      </c>
      <c r="D40" t="n">
        <v>1</v>
      </c>
      <c r="E40" s="7">
        <f>ROUND(C40,D40)</f>
        <v/>
      </c>
      <c r="F40">
        <f>IF(full_precision,C40,E40)</f>
        <v/>
      </c>
      <c r="G40" s="7" t="n">
        <v>50.8</v>
      </c>
      <c r="H40" s="8">
        <f>E40-G40</f>
        <v/>
      </c>
      <c r="I40" t="inlineStr">
        <is>
          <t>yes</t>
        </is>
      </c>
      <c r="J40" s="5" t="inlineStr">
        <is>
          <t>market.module.reachable_pool.amt.2029 * (100 - market.module.incumbent_held.pct) / 100</t>
        </is>
      </c>
    </row>
    <row r="41">
      <c r="A41" s="1" t="inlineStr">
        <is>
          <t>Interventional and implantable</t>
        </is>
      </c>
      <c r="B41" s="2" t="n"/>
      <c r="C41" s="2" t="n"/>
      <c r="D41" s="2" t="n"/>
      <c r="E41" s="2" t="n"/>
      <c r="F41" s="2" t="n"/>
      <c r="G41" s="2" t="n"/>
      <c r="H41" s="2" t="n"/>
      <c r="I41" s="2" t="n"/>
      <c r="J41" s="2" t="n"/>
    </row>
    <row r="42">
      <c r="A42" s="5" t="inlineStr">
        <is>
          <t>market.ep.pool.amt.2025</t>
        </is>
      </c>
      <c r="B42" t="inlineStr">
        <is>
          <t>USD M</t>
        </is>
      </c>
      <c r="C42">
        <f>market.ep.procedure.cnt.2025 * market.ep.content_per_unit.amt</f>
        <v/>
      </c>
      <c r="D42" t="n">
        <v>1</v>
      </c>
      <c r="E42" s="7">
        <f>ROUND(C42,D42)</f>
        <v/>
      </c>
      <c r="F42">
        <f>IF(full_precision,C42,E42)</f>
        <v/>
      </c>
      <c r="G42" s="7" t="n">
        <v>76.5</v>
      </c>
      <c r="H42" s="8">
        <f>E42-G42</f>
        <v/>
      </c>
      <c r="I42" t="inlineStr">
        <is>
          <t>yes</t>
        </is>
      </c>
      <c r="J42" s="5" t="inlineStr">
        <is>
          <t>market.ep.procedure.cnt.2025 * market.ep.content_per_unit.amt</t>
        </is>
      </c>
    </row>
    <row r="43">
      <c r="A43" s="5" t="inlineStr">
        <is>
          <t>market.ep.reachable_pool.amt.2025</t>
        </is>
      </c>
      <c r="B43" t="inlineStr">
        <is>
          <t>USD M</t>
        </is>
      </c>
      <c r="C43">
        <f>market.ep.pool.amt.2025 * market.ep.merchant.pct / 100</f>
        <v/>
      </c>
      <c r="D43" t="n">
        <v>1</v>
      </c>
      <c r="E43" s="7">
        <f>ROUND(C43,D43)</f>
        <v/>
      </c>
      <c r="F43">
        <f>IF(full_precision,C43,E43)</f>
        <v/>
      </c>
      <c r="G43" s="7" t="n">
        <v>26.8</v>
      </c>
      <c r="H43" s="8">
        <f>E43-G43</f>
        <v/>
      </c>
      <c r="I43" t="inlineStr">
        <is>
          <t>yes</t>
        </is>
      </c>
      <c r="J43" s="5" t="inlineStr">
        <is>
          <t>market.ep.pool.amt.2025 * market.ep.merchant.pct / 100</t>
        </is>
      </c>
    </row>
    <row r="44">
      <c r="A44" s="5" t="inlineStr">
        <is>
          <t>market.ep.reachable_pool.amt.2029</t>
        </is>
      </c>
      <c r="B44" t="inlineStr">
        <is>
          <t>USD M</t>
        </is>
      </c>
      <c r="C44">
        <f>market.ep.reachable_pool.amt.2025 * _market.growth.ep_4yr.ratio</f>
        <v/>
      </c>
      <c r="D44" t="n">
        <v>1</v>
      </c>
      <c r="E44" s="7">
        <f>ROUND(C44,D44)</f>
        <v/>
      </c>
      <c r="F44">
        <f>IF(full_precision,C44,E44)</f>
        <v/>
      </c>
      <c r="G44" s="7" t="n">
        <v>39.9</v>
      </c>
      <c r="H44" s="8">
        <f>E44-G44</f>
        <v/>
      </c>
      <c r="I44" t="inlineStr">
        <is>
          <t>yes</t>
        </is>
      </c>
      <c r="J44" s="5" t="inlineStr">
        <is>
          <t>market.ep.reachable_pool.amt.2025 * _market.growth.ep_4yr.ratio</t>
        </is>
      </c>
    </row>
    <row r="45">
      <c r="A45" s="1" t="inlineStr">
        <is>
          <t>The portfolio in total</t>
        </is>
      </c>
      <c r="B45" s="2" t="n"/>
      <c r="C45" s="2" t="n"/>
      <c r="D45" s="2" t="n"/>
      <c r="E45" s="2" t="n"/>
      <c r="F45" s="2" t="n"/>
      <c r="G45" s="2" t="n"/>
      <c r="H45" s="2" t="n"/>
      <c r="I45" s="2" t="n"/>
      <c r="J45" s="2" t="n"/>
    </row>
    <row r="46">
      <c r="A46" s="5" t="inlineStr">
        <is>
          <t>market.portfolio.reachable_pool.amt.2029</t>
        </is>
      </c>
      <c r="B46" t="inlineStr">
        <is>
          <t>USD M</t>
        </is>
      </c>
      <c r="C46">
        <f>market.module.reachable_pool.amt.2029 + market.return_electrode.reachable_pool.amt.2029 + market.ecg_electrode.reachable_pool.amt.2029 + market.ep.reachable_pool.amt.2029 + market.neuro.reachable_pool.amt.2029 + market.cgm.reachable_pool.amt.2029 + market.ostomy.reachable_pool.amt.2032 + market.defib_pad.reachable_pool.amt.2029</f>
        <v/>
      </c>
      <c r="D46" t="n">
        <v>2</v>
      </c>
      <c r="E46" s="7">
        <f>ROUND(C46,D46)</f>
        <v/>
      </c>
      <c r="F46">
        <f>IF(full_precision,C46,E46)</f>
        <v/>
      </c>
      <c r="G46" s="7" t="n">
        <v>732.45</v>
      </c>
      <c r="H46" s="8">
        <f>E46-G46</f>
        <v/>
      </c>
      <c r="I46" t="inlineStr">
        <is>
          <t>yes</t>
        </is>
      </c>
      <c r="J46" s="5" t="inlineStr">
        <is>
          <t>market.module.reachable_pool.amt.2029 + market.return_electrode.reachable_pool.amt.2029 + market.ecg_electrode.reachable_pool.amt.2029 + market.ep.reachable_pool.amt.2029 + market.neuro.reachable_pool.amt.2029 + market.cgm.reachable_pool.amt.2029 + market.ostomy.reachable_pool.amt.2032 + market.defib_pad.reachable_pool.amt.2029</t>
        </is>
      </c>
    </row>
    <row r="47">
      <c r="A47" s="5" t="inlineStr">
        <is>
          <t>market.portfolio.share_for_target.pct</t>
        </is>
      </c>
      <c r="B47" t="inlineStr">
        <is>
          <t>pct</t>
        </is>
      </c>
      <c r="C47">
        <f>frame.target.revenue.amt.2029 / market.portfolio.reachable_pool.amt.2029 * 100</f>
        <v/>
      </c>
      <c r="D47" t="n">
        <v>2</v>
      </c>
      <c r="E47" s="7">
        <f>ROUND(C47,D47)</f>
        <v/>
      </c>
      <c r="F47">
        <f>IF(full_precision,C47,E47)</f>
        <v/>
      </c>
      <c r="G47" s="7" t="n">
        <v>47.78</v>
      </c>
      <c r="H47" s="8">
        <f>E47-G47</f>
        <v/>
      </c>
      <c r="I47" t="inlineStr">
        <is>
          <t>yes</t>
        </is>
      </c>
      <c r="J47" s="5" t="inlineStr">
        <is>
          <t>frame.target.revenue.amt.2029 / market.portfolio.reachable_pool.amt.2029 * 100</t>
        </is>
      </c>
    </row>
    <row r="48">
      <c r="A48" s="5" t="inlineStr">
        <is>
          <t>market.portfolio.commodity_pool.amt.2029</t>
        </is>
      </c>
      <c r="B48" t="inlineStr">
        <is>
          <t>USD M</t>
        </is>
      </c>
      <c r="C48">
        <f>market.return_electrode.reachable_pool.amt.2029 + market.ecg_electrode.reachable_pool.amt.2029 + market.defib_pad.reachable_pool.amt.2029 + market.ostomy.reachable_pool.amt.2032</f>
        <v/>
      </c>
      <c r="D48" t="n">
        <v>2</v>
      </c>
      <c r="E48" s="7">
        <f>ROUND(C48,D48)</f>
        <v/>
      </c>
      <c r="F48">
        <f>IF(full_precision,C48,E48)</f>
        <v/>
      </c>
      <c r="G48" s="7" t="n">
        <v>379.34</v>
      </c>
      <c r="H48" s="8">
        <f>E48-G48</f>
        <v/>
      </c>
      <c r="I48" t="inlineStr">
        <is>
          <t>yes</t>
        </is>
      </c>
      <c r="J48" s="5" t="inlineStr">
        <is>
          <t>market.return_electrode.reachable_pool.amt.2029 + market.ecg_electrode.reachable_pool.amt.2029 + market.defib_pad.reachable_pool.amt.2029 + market.ostomy.reachable_pool.amt.2032</t>
        </is>
      </c>
    </row>
    <row r="49">
      <c r="A49" s="5" t="inlineStr">
        <is>
          <t>market.portfolio.commodity_share.pct</t>
        </is>
      </c>
      <c r="B49" t="inlineStr">
        <is>
          <t>pct</t>
        </is>
      </c>
      <c r="C49">
        <f>market.portfolio.commodity_pool.amt.2029 / market.portfolio.reachable_pool.amt.2029 * 100</f>
        <v/>
      </c>
      <c r="D49" t="n">
        <v>1</v>
      </c>
      <c r="E49" s="7">
        <f>ROUND(C49,D49)</f>
        <v/>
      </c>
      <c r="F49">
        <f>IF(full_precision,C49,E49)</f>
        <v/>
      </c>
      <c r="G49" s="7" t="n">
        <v>51.8</v>
      </c>
      <c r="H49" s="8">
        <f>E49-G49</f>
        <v/>
      </c>
      <c r="I49" t="inlineStr">
        <is>
          <t>yes</t>
        </is>
      </c>
      <c r="J49" s="5" t="inlineStr">
        <is>
          <t>market.portfolio.commodity_pool.amt.2029 / market.portfolio.reachable_pool.amt.2029 * 100</t>
        </is>
      </c>
    </row>
    <row r="50">
      <c r="A50" s="1" t="inlineStr">
        <is>
          <t>The revenue build</t>
        </is>
      </c>
      <c r="B50" s="2" t="n"/>
      <c r="C50" s="2" t="n"/>
      <c r="D50" s="2" t="n"/>
      <c r="E50" s="2" t="n"/>
      <c r="F50" s="2" t="n"/>
      <c r="G50" s="2" t="n"/>
      <c r="H50" s="2" t="n"/>
      <c r="I50" s="2" t="n"/>
      <c r="J50" s="2" t="n"/>
    </row>
    <row r="51">
      <c r="A51" s="5" t="inlineStr">
        <is>
          <t>strategy.line_a.revenue.amt.2032.return_electrode</t>
        </is>
      </c>
      <c r="B51" t="inlineStr">
        <is>
          <t>USD M</t>
        </is>
      </c>
      <c r="C51">
        <f>market.return_electrode.reachable_pool.amt.2029 * strategy.line_a.share.pct.return_electrode / 100</f>
        <v/>
      </c>
      <c r="D51" t="n">
        <v>1</v>
      </c>
      <c r="E51" s="7">
        <f>ROUND(C51,D51)</f>
        <v/>
      </c>
      <c r="F51">
        <f>IF(full_precision,C51,E51)</f>
        <v/>
      </c>
      <c r="G51" s="7" t="n">
        <v>46.4</v>
      </c>
      <c r="H51" s="8">
        <f>E51-G51</f>
        <v/>
      </c>
      <c r="I51" t="inlineStr">
        <is>
          <t>yes</t>
        </is>
      </c>
      <c r="J51" s="5" t="inlineStr">
        <is>
          <t>market.return_electrode.reachable_pool.amt.2029 * strategy.line_a.share.pct.return_electrode / 100</t>
        </is>
      </c>
    </row>
    <row r="52">
      <c r="A52" s="5" t="inlineStr">
        <is>
          <t>strategy.line_a.revenue.amt.2032.ecg</t>
        </is>
      </c>
      <c r="B52" t="inlineStr">
        <is>
          <t>USD M</t>
        </is>
      </c>
      <c r="C52">
        <f>market.ecg_electrode.reachable_pool.amt.2029 * strategy.line_a.share.pct.ecg / 100</f>
        <v/>
      </c>
      <c r="D52" t="n">
        <v>1</v>
      </c>
      <c r="E52" s="7">
        <f>ROUND(C52,D52)</f>
        <v/>
      </c>
      <c r="F52">
        <f>IF(full_precision,C52,E52)</f>
        <v/>
      </c>
      <c r="G52" s="7" t="n">
        <v>47.8</v>
      </c>
      <c r="H52" s="8">
        <f>E52-G52</f>
        <v/>
      </c>
      <c r="I52" t="inlineStr">
        <is>
          <t>yes</t>
        </is>
      </c>
      <c r="J52" s="5" t="inlineStr">
        <is>
          <t>market.ecg_electrode.reachable_pool.amt.2029 * strategy.line_a.share.pct.ecg / 100</t>
        </is>
      </c>
    </row>
    <row r="53">
      <c r="A53" s="5" t="inlineStr">
        <is>
          <t>strategy.line_a.revenue.amt.2032.defib</t>
        </is>
      </c>
      <c r="B53" t="inlineStr">
        <is>
          <t>USD M</t>
        </is>
      </c>
      <c r="C53">
        <f>market.defib_pad.reachable_pool.amt.2029 * strategy.line_a.share.pct.defib / 100</f>
        <v/>
      </c>
      <c r="D53" t="n">
        <v>1</v>
      </c>
      <c r="E53" s="7">
        <f>ROUND(C53,D53)</f>
        <v/>
      </c>
      <c r="F53">
        <f>IF(full_precision,C53,E53)</f>
        <v/>
      </c>
      <c r="G53" s="7" t="n">
        <v>7.4</v>
      </c>
      <c r="H53" s="8">
        <f>E53-G53</f>
        <v/>
      </c>
      <c r="I53" t="inlineStr">
        <is>
          <t>yes</t>
        </is>
      </c>
      <c r="J53" s="5" t="inlineStr">
        <is>
          <t>market.defib_pad.reachable_pool.amt.2029 * strategy.line_a.share.pct.defib / 100</t>
        </is>
      </c>
    </row>
    <row r="54">
      <c r="A54" s="5" t="inlineStr">
        <is>
          <t>strategy.line_a.revenue.amt.2032.ostomy</t>
        </is>
      </c>
      <c r="B54" t="inlineStr">
        <is>
          <t>USD M</t>
        </is>
      </c>
      <c r="C54">
        <f>market.ostomy.reachable_pool.amt.2032 * strategy.line_a.share.pct.ostomy / 100</f>
        <v/>
      </c>
      <c r="D54" t="n">
        <v>1</v>
      </c>
      <c r="E54" s="7">
        <f>ROUND(C54,D54)</f>
        <v/>
      </c>
      <c r="F54">
        <f>IF(full_precision,C54,E54)</f>
        <v/>
      </c>
      <c r="G54" s="7" t="n">
        <v>15.5</v>
      </c>
      <c r="H54" s="8">
        <f>E54-G54</f>
        <v/>
      </c>
      <c r="I54" t="inlineStr">
        <is>
          <t>yes</t>
        </is>
      </c>
      <c r="J54" s="5" t="inlineStr">
        <is>
          <t>market.ostomy.reachable_pool.amt.2032 * strategy.line_a.share.pct.ostomy / 100</t>
        </is>
      </c>
    </row>
    <row r="55">
      <c r="A55" s="5" t="inlineStr">
        <is>
          <t>strategy.line_a.unit.cnt.2032</t>
        </is>
      </c>
      <c r="B55" t="inlineStr">
        <is>
          <t>M units</t>
        </is>
      </c>
      <c r="C55">
        <f>strategy.line_a.revenue.amt.2032.return_electrode / _strategy.line_a.price.return_electrode.amt + strategy.line_a.revenue.amt.2032.ecg / _strategy.line_a.price.ecg.amt + strategy.line_a.revenue.amt.2032.defib / _strategy.line_a.price.defib.amt + strategy.line_a.revenue.amt.2032.ostomy / _strategy.line_a.price.ostomy.amt</f>
        <v/>
      </c>
      <c r="D55" t="n">
        <v>1</v>
      </c>
      <c r="E55" s="7">
        <f>ROUND(C55,D55)</f>
        <v/>
      </c>
      <c r="F55">
        <f>IF(full_precision,C55,E55)</f>
        <v/>
      </c>
      <c r="G55" s="7" t="n">
        <v>890.6</v>
      </c>
      <c r="H55" s="8">
        <f>E55-G55</f>
        <v/>
      </c>
      <c r="I55" t="inlineStr">
        <is>
          <t>yes</t>
        </is>
      </c>
      <c r="J55" s="5" t="inlineStr">
        <is>
          <t>strategy.line_a.revenue.amt.2032.return_electrode / _strategy.line_a.price.return_electrode.amt + strategy.line_a.revenue.amt.2032.ecg / _strategy.line_a.price.ecg.amt + strategy.line_a.revenue.amt.2032.defib / _strategy.line_a.price.defib.amt + strategy.line_a.revenue.amt.2032.ostomy / _strategy.line_a.price.ostomy.amt</t>
        </is>
      </c>
    </row>
    <row r="56">
      <c r="A56" s="5" t="inlineStr">
        <is>
          <t>strategy.line_a1.revenue.amt.2032</t>
        </is>
      </c>
      <c r="B56" t="inlineStr">
        <is>
          <t>USD M</t>
        </is>
      </c>
      <c r="C56">
        <f>strategy.line_a.revenue.amt.2032.return_electrode + strategy.line_a.revenue.amt.2032.ecg + strategy.line_a.revenue.amt.2032.defib</f>
        <v/>
      </c>
      <c r="D56" t="n">
        <v>1</v>
      </c>
      <c r="E56" s="7">
        <f>ROUND(C56,D56)</f>
        <v/>
      </c>
      <c r="F56">
        <f>IF(full_precision,C56,E56)</f>
        <v/>
      </c>
      <c r="G56" s="7" t="n">
        <v>101.6</v>
      </c>
      <c r="H56" s="8">
        <f>E56-G56</f>
        <v/>
      </c>
      <c r="I56" t="inlineStr">
        <is>
          <t>yes</t>
        </is>
      </c>
      <c r="J56" s="5" t="inlineStr">
        <is>
          <t>strategy.line_a.revenue.amt.2032.return_electrode + strategy.line_a.revenue.amt.2032.ecg + strategy.line_a.revenue.amt.2032.defib</t>
        </is>
      </c>
    </row>
    <row r="57">
      <c r="A57" s="5" t="inlineStr">
        <is>
          <t>strategy.line_a2.revenue.amt.2032</t>
        </is>
      </c>
      <c r="B57" t="inlineStr">
        <is>
          <t>USD M</t>
        </is>
      </c>
      <c r="C57" s="9" t="inlineStr"/>
      <c r="D57" t="n">
        <v>1</v>
      </c>
      <c r="E57" s="10" t="n">
        <v>15.5</v>
      </c>
      <c r="F57">
        <f>E57</f>
        <v/>
      </c>
      <c r="G57" s="7" t="n">
        <v>15.5</v>
      </c>
      <c r="H57" s="8">
        <f>E57-G57</f>
        <v/>
      </c>
      <c r="I57" s="9" t="inlineStr">
        <is>
          <t>no - the memo did not record its formula</t>
        </is>
      </c>
      <c r="J57" s="5" t="inlineStr">
        <is>
          <t>depends_on=strategy.line_a.revenue.amt.2032.ostomy</t>
        </is>
      </c>
    </row>
    <row r="58">
      <c r="A58" s="5" t="inlineStr">
        <is>
          <t>strategy.line_a.revenue.amt.2032</t>
        </is>
      </c>
      <c r="B58" t="inlineStr">
        <is>
          <t>USD M</t>
        </is>
      </c>
      <c r="C58">
        <f>strategy.line_a1.revenue.amt.2032 + strategy.line_a2.revenue.amt.2032</f>
        <v/>
      </c>
      <c r="D58" t="n">
        <v>1</v>
      </c>
      <c r="E58" s="7">
        <f>ROUND(C58,D58)</f>
        <v/>
      </c>
      <c r="F58">
        <f>IF(full_precision,C58,E58)</f>
        <v/>
      </c>
      <c r="G58" s="7" t="n">
        <v>117.1</v>
      </c>
      <c r="H58" s="8">
        <f>E58-G58</f>
        <v/>
      </c>
      <c r="I58" t="inlineStr">
        <is>
          <t>yes</t>
        </is>
      </c>
      <c r="J58" s="5" t="inlineStr">
        <is>
          <t>strategy.line_a1.revenue.amt.2032 + strategy.line_a2.revenue.amt.2032</t>
        </is>
      </c>
    </row>
    <row r="59">
      <c r="A59" s="5" t="inlineStr">
        <is>
          <t>strategy.line_a.revenue.amt.2028</t>
        </is>
      </c>
      <c r="B59" t="inlineStr">
        <is>
          <t>USD M</t>
        </is>
      </c>
      <c r="C59">
        <f>strategy.line_a1.revenue.amt.2032 * 3.6 / 100</f>
        <v/>
      </c>
      <c r="D59" t="n">
        <v>1</v>
      </c>
      <c r="E59" s="7">
        <f>ROUND(C59,D59)</f>
        <v/>
      </c>
      <c r="F59">
        <f>IF(full_precision,C59,E59)</f>
        <v/>
      </c>
      <c r="G59" s="7" t="n">
        <v>3.7</v>
      </c>
      <c r="H59" s="8">
        <f>E59-G59</f>
        <v/>
      </c>
      <c r="I59" t="inlineStr">
        <is>
          <t>yes</t>
        </is>
      </c>
      <c r="J59" s="5" t="inlineStr">
        <is>
          <t>strategy.line_a1.revenue.amt.2032 * 3.6 / 100</t>
        </is>
      </c>
    </row>
    <row r="60">
      <c r="A60" s="5" t="inlineStr">
        <is>
          <t>strategy.line_a.revenue.amt.2029</t>
        </is>
      </c>
      <c r="B60" t="inlineStr">
        <is>
          <t>USD M</t>
        </is>
      </c>
      <c r="C60">
        <f>strategy.line_a1.revenue.amt.2032 * 29.6 / 100</f>
        <v/>
      </c>
      <c r="D60" t="n">
        <v>1</v>
      </c>
      <c r="E60" s="7">
        <f>ROUND(C60,D60)</f>
        <v/>
      </c>
      <c r="F60">
        <f>IF(full_precision,C60,E60)</f>
        <v/>
      </c>
      <c r="G60" s="7" t="n">
        <v>30.1</v>
      </c>
      <c r="H60" s="8">
        <f>E60-G60</f>
        <v/>
      </c>
      <c r="I60" t="inlineStr">
        <is>
          <t>yes</t>
        </is>
      </c>
      <c r="J60" s="5" t="inlineStr">
        <is>
          <t>strategy.line_a1.revenue.amt.2032 * 29.6 / 100</t>
        </is>
      </c>
    </row>
    <row r="61">
      <c r="A61" s="5" t="inlineStr">
        <is>
          <t>strategy.line_a.revenue.amt.2030</t>
        </is>
      </c>
      <c r="B61" t="inlineStr">
        <is>
          <t>USD M</t>
        </is>
      </c>
      <c r="C61">
        <f>strategy.line_a1.revenue.amt.2032 * 51 / 100 + strategy.line_a2.revenue.amt.2032 * 15 / 100</f>
        <v/>
      </c>
      <c r="D61" t="n">
        <v>1</v>
      </c>
      <c r="E61" s="7">
        <f>ROUND(C61,D61)</f>
        <v/>
      </c>
      <c r="F61">
        <f>IF(full_precision,C61,E61)</f>
        <v/>
      </c>
      <c r="G61" s="7" t="n">
        <v>54.1</v>
      </c>
      <c r="H61" s="8">
        <f>E61-G61</f>
        <v/>
      </c>
      <c r="I61" t="inlineStr">
        <is>
          <t>yes</t>
        </is>
      </c>
      <c r="J61" s="5" t="inlineStr">
        <is>
          <t>strategy.line_a1.revenue.amt.2032 * 51 / 100 + strategy.line_a2.revenue.amt.2032 * 15 / 100</t>
        </is>
      </c>
    </row>
    <row r="62">
      <c r="A62" s="5" t="inlineStr">
        <is>
          <t>strategy.line_a.revenue.amt.2031</t>
        </is>
      </c>
      <c r="B62" t="inlineStr">
        <is>
          <t>USD M</t>
        </is>
      </c>
      <c r="C62">
        <f>strategy.line_a1.revenue.amt.2032 * 78 / 100 + strategy.line_a2.revenue.amt.2032 * 50 / 100</f>
        <v/>
      </c>
      <c r="D62" t="n">
        <v>0</v>
      </c>
      <c r="E62" s="7">
        <f>ROUND(C62,D62)</f>
        <v/>
      </c>
      <c r="F62">
        <f>IF(full_precision,C62,E62)</f>
        <v/>
      </c>
      <c r="G62" s="7" t="n">
        <v>87</v>
      </c>
      <c r="H62" s="8">
        <f>E62-G62</f>
        <v/>
      </c>
      <c r="I62" t="inlineStr">
        <is>
          <t>yes</t>
        </is>
      </c>
      <c r="J62" s="5" t="inlineStr">
        <is>
          <t>strategy.line_a1.revenue.amt.2032 * 78 / 100 + strategy.line_a2.revenue.amt.2032 * 50 / 100</t>
        </is>
      </c>
    </row>
    <row r="63">
      <c r="A63" s="5" t="inlineStr">
        <is>
          <t>strategy.line_a.share_of_pool.pct.2032</t>
        </is>
      </c>
      <c r="B63" t="inlineStr">
        <is>
          <t>pct</t>
        </is>
      </c>
      <c r="C63">
        <f>strategy.line_a.revenue.amt.2032 / market.portfolio.commodity_pool.amt.2029 * 100</f>
        <v/>
      </c>
      <c r="D63" t="n">
        <v>1</v>
      </c>
      <c r="E63" s="7">
        <f>ROUND(C63,D63)</f>
        <v/>
      </c>
      <c r="F63">
        <f>IF(full_precision,C63,E63)</f>
        <v/>
      </c>
      <c r="G63" s="7" t="n">
        <v>30.9</v>
      </c>
      <c r="H63" s="8">
        <f>E63-G63</f>
        <v/>
      </c>
      <c r="I63" t="inlineStr">
        <is>
          <t>yes</t>
        </is>
      </c>
      <c r="J63" s="5" t="inlineStr">
        <is>
          <t>strategy.line_a.revenue.amt.2032 / market.portfolio.commodity_pool.amt.2029 * 100</t>
        </is>
      </c>
    </row>
    <row r="64">
      <c r="A64" s="5" t="inlineStr">
        <is>
          <t>strategy.line_b.revenue.amt.2032</t>
        </is>
      </c>
      <c r="B64" t="inlineStr">
        <is>
          <t>USD M</t>
        </is>
      </c>
      <c r="C64">
        <f>market.module.contestable_pool.amt.2029 * strategy.line_b.share_of_contestable.pct.2032 / 100</f>
        <v/>
      </c>
      <c r="D64" t="n">
        <v>1</v>
      </c>
      <c r="E64" s="7">
        <f>ROUND(C64,D64)</f>
        <v/>
      </c>
      <c r="F64">
        <f>IF(full_precision,C64,E64)</f>
        <v/>
      </c>
      <c r="G64" s="7" t="n">
        <v>27.9</v>
      </c>
      <c r="H64" s="8">
        <f>E64-G64</f>
        <v/>
      </c>
      <c r="I64" t="inlineStr">
        <is>
          <t>yes</t>
        </is>
      </c>
      <c r="J64" s="5" t="inlineStr">
        <is>
          <t>market.module.contestable_pool.amt.2029 * strategy.line_b.share_of_contestable.pct.2032 / 100</t>
        </is>
      </c>
    </row>
    <row r="65">
      <c r="A65" s="5" t="inlineStr">
        <is>
          <t>strategy.line_b.revenue.amt.2030</t>
        </is>
      </c>
      <c r="B65" t="inlineStr">
        <is>
          <t>USD M</t>
        </is>
      </c>
      <c r="C65">
        <f>strategy.line_b.revenue.amt.2032 * 26 / 100</f>
        <v/>
      </c>
      <c r="D65" t="n">
        <v>1</v>
      </c>
      <c r="E65" s="7">
        <f>ROUND(C65,D65)</f>
        <v/>
      </c>
      <c r="F65">
        <f>IF(full_precision,C65,E65)</f>
        <v/>
      </c>
      <c r="G65" s="7" t="n">
        <v>7.3</v>
      </c>
      <c r="H65" s="8">
        <f>E65-G65</f>
        <v/>
      </c>
      <c r="I65" t="inlineStr">
        <is>
          <t>yes</t>
        </is>
      </c>
      <c r="J65" s="5" t="inlineStr">
        <is>
          <t>strategy.line_b.revenue.amt.2032 * 26 / 100</t>
        </is>
      </c>
    </row>
    <row r="66">
      <c r="A66" s="5" t="inlineStr">
        <is>
          <t>strategy.line_b.revenue.amt.2031</t>
        </is>
      </c>
      <c r="B66" t="inlineStr">
        <is>
          <t>USD M</t>
        </is>
      </c>
      <c r="C66">
        <f>strategy.line_b.revenue.amt.2032 * 60 / 100</f>
        <v/>
      </c>
      <c r="D66" t="n">
        <v>1</v>
      </c>
      <c r="E66" s="7">
        <f>ROUND(C66,D66)</f>
        <v/>
      </c>
      <c r="F66">
        <f>IF(full_precision,C66,E66)</f>
        <v/>
      </c>
      <c r="G66" s="7" t="n">
        <v>16.7</v>
      </c>
      <c r="H66" s="8">
        <f>E66-G66</f>
        <v/>
      </c>
      <c r="I66" t="inlineStr">
        <is>
          <t>yes</t>
        </is>
      </c>
      <c r="J66" s="5" t="inlineStr">
        <is>
          <t>strategy.line_b.revenue.amt.2032 * 60 / 100</t>
        </is>
      </c>
    </row>
    <row r="67">
      <c r="A67" s="5" t="inlineStr">
        <is>
          <t>strategy.line_c.revenue.amt.2032</t>
        </is>
      </c>
      <c r="B67" t="inlineStr">
        <is>
          <t>USD M</t>
        </is>
      </c>
      <c r="C67">
        <f>market.line_c.reachable_pool.amt.2029 * strategy.line_c.share_of_pool.pct.2032 / 100</f>
        <v/>
      </c>
      <c r="D67" t="n">
        <v>1</v>
      </c>
      <c r="E67" s="7">
        <f>ROUND(C67,D67)</f>
        <v/>
      </c>
      <c r="F67">
        <f>IF(full_precision,C67,E67)</f>
        <v/>
      </c>
      <c r="G67" s="7" t="n">
        <v>19.8</v>
      </c>
      <c r="H67" s="8">
        <f>E67-G67</f>
        <v/>
      </c>
      <c r="I67" t="inlineStr">
        <is>
          <t>yes</t>
        </is>
      </c>
      <c r="J67" s="5" t="inlineStr">
        <is>
          <t>market.line_c.reachable_pool.amt.2029 * strategy.line_c.share_of_pool.pct.2032 / 100</t>
        </is>
      </c>
    </row>
    <row r="68">
      <c r="A68" s="5" t="inlineStr">
        <is>
          <t>strategy.line_c.revenue.amt.2030</t>
        </is>
      </c>
      <c r="B68" t="inlineStr">
        <is>
          <t>USD M</t>
        </is>
      </c>
      <c r="C68">
        <f>strategy.line_c.revenue.amt.2032 * 20 / 100</f>
        <v/>
      </c>
      <c r="D68" t="n">
        <v>0</v>
      </c>
      <c r="E68" s="7">
        <f>ROUND(C68,D68)</f>
        <v/>
      </c>
      <c r="F68">
        <f>IF(full_precision,C68,E68)</f>
        <v/>
      </c>
      <c r="G68" s="7" t="n">
        <v>4</v>
      </c>
      <c r="H68" s="8">
        <f>E68-G68</f>
        <v/>
      </c>
      <c r="I68" t="inlineStr">
        <is>
          <t>yes</t>
        </is>
      </c>
      <c r="J68" s="5" t="inlineStr">
        <is>
          <t>strategy.line_c.revenue.amt.2032 * 20 / 100</t>
        </is>
      </c>
    </row>
    <row r="69">
      <c r="A69" s="5" t="inlineStr">
        <is>
          <t>strategy.line_c.revenue.amt.2031</t>
        </is>
      </c>
      <c r="B69" t="inlineStr">
        <is>
          <t>USD M</t>
        </is>
      </c>
      <c r="C69">
        <f>strategy.line_c.revenue.amt.2032 * 55 / 100</f>
        <v/>
      </c>
      <c r="D69" t="n">
        <v>1</v>
      </c>
      <c r="E69" s="7">
        <f>ROUND(C69,D69)</f>
        <v/>
      </c>
      <c r="F69">
        <f>IF(full_precision,C69,E69)</f>
        <v/>
      </c>
      <c r="G69" s="7" t="n">
        <v>10.9</v>
      </c>
      <c r="H69" s="8">
        <f>E69-G69</f>
        <v/>
      </c>
      <c r="I69" t="inlineStr">
        <is>
          <t>yes</t>
        </is>
      </c>
      <c r="J69" s="5" t="inlineStr">
        <is>
          <t>strategy.line_c.revenue.amt.2032 * 55 / 100</t>
        </is>
      </c>
    </row>
    <row r="70">
      <c r="A70" s="5" t="inlineStr">
        <is>
          <t>finance.revenue.amt.2028</t>
        </is>
      </c>
      <c r="B70" t="inlineStr">
        <is>
          <t>USD M</t>
        </is>
      </c>
      <c r="C70">
        <f>strategy.line_a.revenue.amt.2028 + strategy.line_b.revenue.amt.2028 + strategy.line_c.revenue.amt.2028</f>
        <v/>
      </c>
      <c r="D70" t="n">
        <v>1</v>
      </c>
      <c r="E70" s="7">
        <f>ROUND(C70,D70)</f>
        <v/>
      </c>
      <c r="F70">
        <f>IF(full_precision,C70,E70)</f>
        <v/>
      </c>
      <c r="G70" s="7" t="n">
        <v>3.7</v>
      </c>
      <c r="H70" s="8">
        <f>E70-G70</f>
        <v/>
      </c>
      <c r="I70" t="inlineStr">
        <is>
          <t>yes</t>
        </is>
      </c>
      <c r="J70" s="5" t="inlineStr">
        <is>
          <t>strategy.line_a.revenue.amt.2028 + strategy.line_b.revenue.amt.2028 + strategy.line_c.revenue.amt.2028</t>
        </is>
      </c>
    </row>
    <row r="71">
      <c r="A71" s="5" t="inlineStr">
        <is>
          <t>finance.revenue.amt.2029</t>
        </is>
      </c>
      <c r="B71" t="inlineStr">
        <is>
          <t>USD M</t>
        </is>
      </c>
      <c r="C71">
        <f>strategy.line_a.revenue.amt.2029 + strategy.line_b.revenue.amt.2029 + strategy.line_c.revenue.amt.2029</f>
        <v/>
      </c>
      <c r="D71" t="n">
        <v>1</v>
      </c>
      <c r="E71" s="7">
        <f>ROUND(C71,D71)</f>
        <v/>
      </c>
      <c r="F71">
        <f>IF(full_precision,C71,E71)</f>
        <v/>
      </c>
      <c r="G71" s="7" t="n">
        <v>34.1</v>
      </c>
      <c r="H71" s="8">
        <f>E71-G71</f>
        <v/>
      </c>
      <c r="I71" t="inlineStr">
        <is>
          <t>yes</t>
        </is>
      </c>
      <c r="J71" s="5" t="inlineStr">
        <is>
          <t>strategy.line_a.revenue.amt.2029 + strategy.line_b.revenue.amt.2029 + strategy.line_c.revenue.amt.2029</t>
        </is>
      </c>
    </row>
    <row r="72">
      <c r="A72" s="5" t="inlineStr">
        <is>
          <t>finance.revenue.amt.2030</t>
        </is>
      </c>
      <c r="B72" t="inlineStr">
        <is>
          <t>USD M</t>
        </is>
      </c>
      <c r="C72">
        <f>strategy.line_a.revenue.amt.2030 + strategy.line_b.revenue.amt.2030 + strategy.line_c.revenue.amt.2030</f>
        <v/>
      </c>
      <c r="D72" t="n">
        <v>1</v>
      </c>
      <c r="E72" s="7">
        <f>ROUND(C72,D72)</f>
        <v/>
      </c>
      <c r="F72">
        <f>IF(full_precision,C72,E72)</f>
        <v/>
      </c>
      <c r="G72" s="7" t="n">
        <v>65.40000000000001</v>
      </c>
      <c r="H72" s="8">
        <f>E72-G72</f>
        <v/>
      </c>
      <c r="I72" t="inlineStr">
        <is>
          <t>yes</t>
        </is>
      </c>
      <c r="J72" s="5" t="inlineStr">
        <is>
          <t>strategy.line_a.revenue.amt.2030 + strategy.line_b.revenue.amt.2030 + strategy.line_c.revenue.amt.2030</t>
        </is>
      </c>
    </row>
    <row r="73">
      <c r="A73" s="5" t="inlineStr">
        <is>
          <t>finance.revenue.amt.2031</t>
        </is>
      </c>
      <c r="B73" t="inlineStr">
        <is>
          <t>USD M</t>
        </is>
      </c>
      <c r="C73">
        <f>strategy.line_a.revenue.amt.2031 + strategy.line_b.revenue.amt.2031 + strategy.line_c.revenue.amt.2031</f>
        <v/>
      </c>
      <c r="D73" t="n">
        <v>1</v>
      </c>
      <c r="E73" s="7">
        <f>ROUND(C73,D73)</f>
        <v/>
      </c>
      <c r="F73">
        <f>IF(full_precision,C73,E73)</f>
        <v/>
      </c>
      <c r="G73" s="7" t="n">
        <v>114.6</v>
      </c>
      <c r="H73" s="8">
        <f>E73-G73</f>
        <v/>
      </c>
      <c r="I73" t="inlineStr">
        <is>
          <t>yes</t>
        </is>
      </c>
      <c r="J73" s="5" t="inlineStr">
        <is>
          <t>strategy.line_a.revenue.amt.2031 + strategy.line_b.revenue.amt.2031 + strategy.line_c.revenue.amt.2031</t>
        </is>
      </c>
    </row>
    <row r="74">
      <c r="A74" s="5" t="inlineStr">
        <is>
          <t>finance.revenue.amt.2032</t>
        </is>
      </c>
      <c r="B74" t="inlineStr">
        <is>
          <t>USD M</t>
        </is>
      </c>
      <c r="C74">
        <f>strategy.line_a.revenue.amt.2032 + strategy.line_b.revenue.amt.2032 + strategy.line_c.revenue.amt.2032</f>
        <v/>
      </c>
      <c r="D74" t="n">
        <v>1</v>
      </c>
      <c r="E74" s="7">
        <f>ROUND(C74,D74)</f>
        <v/>
      </c>
      <c r="F74">
        <f>IF(full_precision,C74,E74)</f>
        <v/>
      </c>
      <c r="G74" s="7" t="n">
        <v>164.8</v>
      </c>
      <c r="H74" s="8">
        <f>E74-G74</f>
        <v/>
      </c>
      <c r="I74" t="inlineStr">
        <is>
          <t>yes</t>
        </is>
      </c>
      <c r="J74" s="5" t="inlineStr">
        <is>
          <t>strategy.line_a.revenue.amt.2032 + strategy.line_b.revenue.amt.2032 + strategy.line_c.revenue.amt.2032</t>
        </is>
      </c>
    </row>
    <row r="75">
      <c r="A75" s="5" t="inlineStr">
        <is>
          <t>finance.revenue_gap.amt.2029</t>
        </is>
      </c>
      <c r="B75" t="inlineStr">
        <is>
          <t>USD M</t>
        </is>
      </c>
      <c r="C75">
        <f>frame.target.revenue.amt.2029 - finance.revenue.amt.2029</f>
        <v/>
      </c>
      <c r="D75" t="n">
        <v>1</v>
      </c>
      <c r="E75" s="7">
        <f>ROUND(C75,D75)</f>
        <v/>
      </c>
      <c r="F75">
        <f>IF(full_precision,C75,E75)</f>
        <v/>
      </c>
      <c r="G75" s="7" t="n">
        <v>315.9</v>
      </c>
      <c r="H75" s="8">
        <f>E75-G75</f>
        <v/>
      </c>
      <c r="I75" t="inlineStr">
        <is>
          <t>yes</t>
        </is>
      </c>
      <c r="J75" s="5" t="inlineStr">
        <is>
          <t>frame.target.revenue.amt.2029 - finance.revenue.amt.2029</t>
        </is>
      </c>
    </row>
    <row r="76">
      <c r="A76" s="5" t="inlineStr">
        <is>
          <t>finance.revenue_attainment.pct.2029</t>
        </is>
      </c>
      <c r="B76" t="inlineStr">
        <is>
          <t>pct</t>
        </is>
      </c>
      <c r="C76">
        <f>finance.revenue.amt.2029 / frame.target.revenue.amt.2029 * 100</f>
        <v/>
      </c>
      <c r="D76" t="n">
        <v>1</v>
      </c>
      <c r="E76" s="7">
        <f>ROUND(C76,D76)</f>
        <v/>
      </c>
      <c r="F76">
        <f>IF(full_precision,C76,E76)</f>
        <v/>
      </c>
      <c r="G76" s="7" t="n">
        <v>9.699999999999999</v>
      </c>
      <c r="H76" s="8">
        <f>E76-G76</f>
        <v/>
      </c>
      <c r="I76" t="inlineStr">
        <is>
          <t>yes</t>
        </is>
      </c>
      <c r="J76" s="5" t="inlineStr">
        <is>
          <t>finance.revenue.amt.2029 / frame.target.revenue.amt.2029 * 100</t>
        </is>
      </c>
    </row>
    <row r="77">
      <c r="A77" s="5" t="inlineStr">
        <is>
          <t>finance.target_delay.dur.fast</t>
        </is>
      </c>
      <c r="B77" t="inlineStr">
        <is>
          <t>years</t>
        </is>
      </c>
      <c r="C77">
        <f>finance.target_reached.year.cnt.fast - 2029</f>
        <v/>
      </c>
      <c r="D77" t="n">
        <v>0</v>
      </c>
      <c r="E77" s="7">
        <f>ROUND(C77,D77)</f>
        <v/>
      </c>
      <c r="F77">
        <f>IF(full_precision,C77,E77)</f>
        <v/>
      </c>
      <c r="G77" s="7" t="n">
        <v>5</v>
      </c>
      <c r="H77" s="8">
        <f>E77-G77</f>
        <v/>
      </c>
      <c r="I77" t="inlineStr">
        <is>
          <t>yes</t>
        </is>
      </c>
      <c r="J77" s="5" t="inlineStr">
        <is>
          <t>finance.target_reached.year.cnt.fast - 2029</t>
        </is>
      </c>
    </row>
    <row r="78">
      <c r="A78" s="5" t="inlineStr">
        <is>
          <t>finance.target_delay.dur.slow</t>
        </is>
      </c>
      <c r="B78" t="inlineStr">
        <is>
          <t>years</t>
        </is>
      </c>
      <c r="C78">
        <f>finance.target_reached.year.cnt.slow - 2029</f>
        <v/>
      </c>
      <c r="D78" t="n">
        <v>0</v>
      </c>
      <c r="E78" s="7">
        <f>ROUND(C78,D78)</f>
        <v/>
      </c>
      <c r="F78">
        <f>IF(full_precision,C78,E78)</f>
        <v/>
      </c>
      <c r="G78" s="7" t="n">
        <v>9</v>
      </c>
      <c r="H78" s="8">
        <f>E78-G78</f>
        <v/>
      </c>
      <c r="I78" t="inlineStr">
        <is>
          <t>yes</t>
        </is>
      </c>
      <c r="J78" s="5" t="inlineStr">
        <is>
          <t>finance.target_reached.year.cnt.slow - 2029</t>
        </is>
      </c>
    </row>
    <row r="79">
      <c r="A79" s="1" t="inlineStr">
        <is>
          <t>The cost stack</t>
        </is>
      </c>
      <c r="B79" s="2" t="n"/>
      <c r="C79" s="2" t="n"/>
      <c r="D79" s="2" t="n"/>
      <c r="E79" s="2" t="n"/>
      <c r="F79" s="2" t="n"/>
      <c r="G79" s="2" t="n"/>
      <c r="H79" s="2" t="n"/>
      <c r="I79" s="2" t="n"/>
      <c r="J79" s="2" t="n"/>
    </row>
    <row r="80">
      <c r="A80" s="5" t="inlineStr">
        <is>
          <t>finance.unit.cogs.pct</t>
        </is>
      </c>
      <c r="B80" t="inlineStr">
        <is>
          <t>pct</t>
        </is>
      </c>
      <c r="C80">
        <f>finance.unit.material.pct + finance.unit.conversion.pct + finance.unit.plant.pct</f>
        <v/>
      </c>
      <c r="D80" t="n">
        <v>0</v>
      </c>
      <c r="E80" s="7">
        <f>ROUND(C80,D80)</f>
        <v/>
      </c>
      <c r="F80">
        <f>IF(full_precision,C80,E80)</f>
        <v/>
      </c>
      <c r="G80" s="7" t="n">
        <v>72</v>
      </c>
      <c r="H80" s="8">
        <f>E80-G80</f>
        <v/>
      </c>
      <c r="I80" t="inlineStr">
        <is>
          <t>yes</t>
        </is>
      </c>
      <c r="J80" s="5" t="inlineStr">
        <is>
          <t>finance.unit.material.pct + finance.unit.conversion.pct + finance.unit.plant.pct</t>
        </is>
      </c>
    </row>
    <row r="81">
      <c r="A81" s="5" t="inlineStr">
        <is>
          <t>finance.initiative.gross_margin.pct</t>
        </is>
      </c>
      <c r="B81" t="inlineStr">
        <is>
          <t>pct</t>
        </is>
      </c>
      <c r="C81">
        <f>(strategy.line_a.revenue.amt.2032 * finance.line_a.gross_margin.pct + strategy.line_b.revenue.amt.2032 * finance.line_b.gross_margin.pct + strategy.line_c.revenue.amt.2032 * finance.line_c.gross_margin.pct) / finance.revenue.amt.2032</f>
        <v/>
      </c>
      <c r="D81" t="n">
        <v>2</v>
      </c>
      <c r="E81" s="7">
        <f>ROUND(C81,D81)</f>
        <v/>
      </c>
      <c r="F81">
        <f>IF(full_precision,C81,E81)</f>
        <v/>
      </c>
      <c r="G81" s="7" t="n">
        <v>26.14</v>
      </c>
      <c r="H81" s="8">
        <f>E81-G81</f>
        <v/>
      </c>
      <c r="I81" t="inlineStr">
        <is>
          <t>yes</t>
        </is>
      </c>
      <c r="J81" s="5" t="inlineStr">
        <is>
          <t>(strategy.line_a.revenue.amt.2032 * finance.line_a.gross_margin.pct + strategy.line_b.revenue.amt.2032 * finance.line_b.gross_margin.pct + strategy.line_c.revenue.amt.2032 * finance.line_c.gross_margin.pct) / finance.revenue.amt.2032</t>
        </is>
      </c>
    </row>
    <row r="82">
      <c r="A82" s="5" t="inlineStr">
        <is>
          <t>finance.initiative.op_margin.pct</t>
        </is>
      </c>
      <c r="B82" t="inlineStr">
        <is>
          <t>pct</t>
        </is>
      </c>
      <c r="C82">
        <f>finance.initiative.ebit.amt.2032 / finance.revenue.amt.2032 * 100</f>
        <v/>
      </c>
      <c r="D82" t="n">
        <v>1</v>
      </c>
      <c r="E82" s="7">
        <f>ROUND(C82,D82)</f>
        <v/>
      </c>
      <c r="F82">
        <f>IF(full_precision,C82,E82)</f>
        <v/>
      </c>
      <c r="G82" s="7" t="n">
        <v>-1.7</v>
      </c>
      <c r="H82" s="8">
        <f>E82-G82</f>
        <v/>
      </c>
      <c r="I82" t="inlineStr">
        <is>
          <t>yes</t>
        </is>
      </c>
      <c r="J82" s="5" t="inlineStr">
        <is>
          <t>finance.initiative.ebit.amt.2032 / finance.revenue.amt.2032 * 100</t>
        </is>
      </c>
    </row>
    <row r="83">
      <c r="A83" s="5" t="inlineStr">
        <is>
          <t>finance.op_margin_gap.pct</t>
        </is>
      </c>
      <c r="B83" t="inlineStr">
        <is>
          <t>pct points</t>
        </is>
      </c>
      <c r="C83">
        <f>frame.target.op_margin.pct - finance.initiative.op_margin.pct</f>
        <v/>
      </c>
      <c r="D83" t="n">
        <v>1</v>
      </c>
      <c r="E83" s="7">
        <f>ROUND(C83,D83)</f>
        <v/>
      </c>
      <c r="F83">
        <f>IF(full_precision,C83,E83)</f>
        <v/>
      </c>
      <c r="G83" s="7" t="n">
        <v>31.7</v>
      </c>
      <c r="H83" s="8">
        <f>E83-G83</f>
        <v/>
      </c>
      <c r="I83" t="inlineStr">
        <is>
          <t>yes</t>
        </is>
      </c>
      <c r="J83" s="5" t="inlineStr">
        <is>
          <t>frame.target.op_margin.pct - finance.initiative.op_margin.pct</t>
        </is>
      </c>
    </row>
    <row r="84">
      <c r="A84" s="5" t="inlineStr">
        <is>
          <t>finance.initiative.op_margin_advantage.pct</t>
        </is>
      </c>
      <c r="B84" t="inlineStr">
        <is>
          <t>pct points</t>
        </is>
      </c>
      <c r="C84">
        <f>finance.initiative.op_margin.pct - _bench.zhending.op_margin.pct</f>
        <v/>
      </c>
      <c r="D84" t="n">
        <v>1</v>
      </c>
      <c r="E84" s="7">
        <f>ROUND(C84,D84)</f>
        <v/>
      </c>
      <c r="F84">
        <f>IF(full_precision,C84,E84)</f>
        <v/>
      </c>
      <c r="G84" s="7" t="n">
        <v>-9.300000000000001</v>
      </c>
      <c r="H84" s="8">
        <f>E84-G84</f>
        <v/>
      </c>
      <c r="I84" t="inlineStr">
        <is>
          <t>yes</t>
        </is>
      </c>
      <c r="J84" s="5" t="inlineStr">
        <is>
          <t>finance.initiative.op_margin.pct - _bench.zhending.op_margin.pct</t>
        </is>
      </c>
    </row>
    <row r="85">
      <c r="A85" s="5" t="inlineStr">
        <is>
          <t>finance.initiative.gross_margin_advantage.pct</t>
        </is>
      </c>
      <c r="B85" t="inlineStr">
        <is>
          <t>pct points</t>
        </is>
      </c>
      <c r="C85">
        <f>finance.initiative.gross_margin.pct - _bench.zhending.gross_margin.pct</f>
        <v/>
      </c>
      <c r="D85" t="n">
        <v>1</v>
      </c>
      <c r="E85" s="7">
        <f>ROUND(C85,D85)</f>
        <v/>
      </c>
      <c r="F85">
        <f>IF(full_precision,C85,E85)</f>
        <v/>
      </c>
      <c r="G85" s="7" t="n">
        <v>6.3</v>
      </c>
      <c r="H85" s="8">
        <f>E85-G85</f>
        <v/>
      </c>
      <c r="I85" t="inlineStr">
        <is>
          <t>yes</t>
        </is>
      </c>
      <c r="J85" s="5" t="inlineStr">
        <is>
          <t>finance.initiative.gross_margin.pct - _bench.zhending.gross_margin.pct</t>
        </is>
      </c>
    </row>
    <row r="86">
      <c r="A86" s="1" t="inlineStr">
        <is>
          <t>Capital, cash flow and returns</t>
        </is>
      </c>
      <c r="B86" s="2" t="n"/>
      <c r="C86" s="2" t="n"/>
      <c r="D86" s="2" t="n"/>
      <c r="E86" s="2" t="n"/>
      <c r="F86" s="2" t="n"/>
      <c r="G86" s="2" t="n"/>
      <c r="H86" s="2" t="n"/>
      <c r="I86" s="2" t="n"/>
      <c r="J86" s="2" t="n"/>
    </row>
    <row r="87">
      <c r="A87" s="5" t="inlineStr">
        <is>
          <t>finance.initiative.capex_total.amt</t>
        </is>
      </c>
      <c r="B87" t="inlineStr">
        <is>
          <t>USD M</t>
        </is>
      </c>
      <c r="C87">
        <f>finance.initiative.capex.amt.2027 + finance.initiative.capex.amt.2028 + finance.initiative.capex.amt.2029 + finance.initiative.capex.amt.2030 + finance.initiative.capex.amt.2031 + finance.initiative.capex.amt.2032</f>
        <v/>
      </c>
      <c r="D87" t="n">
        <v>0</v>
      </c>
      <c r="E87" s="7">
        <f>ROUND(C87,D87)</f>
        <v/>
      </c>
      <c r="F87">
        <f>IF(full_precision,C87,E87)</f>
        <v/>
      </c>
      <c r="G87" s="7" t="n">
        <v>160</v>
      </c>
      <c r="H87" s="8">
        <f>E87-G87</f>
        <v/>
      </c>
      <c r="I87" t="inlineStr">
        <is>
          <t>yes</t>
        </is>
      </c>
      <c r="J87" s="5" t="inlineStr">
        <is>
          <t>finance.initiative.capex.amt.2027 + finance.initiative.capex.amt.2028 + finance.initiative.capex.amt.2029 + finance.initiative.capex.amt.2030 + finance.initiative.capex.amt.2031 + finance.initiative.capex.amt.2032</t>
        </is>
      </c>
    </row>
    <row r="88">
      <c r="A88" s="5" t="inlineStr">
        <is>
          <t>finance.initiative.headcount.cnt.2027</t>
        </is>
      </c>
      <c r="B88" t="inlineStr">
        <is>
          <t>people</t>
        </is>
      </c>
      <c r="C88">
        <f>finance.initiative.fixed_cost.amt.2027 / _finance.cost_per_head.amt</f>
        <v/>
      </c>
      <c r="D88" t="n">
        <v>0</v>
      </c>
      <c r="E88" s="7">
        <f>ROUND(C88,D88)</f>
        <v/>
      </c>
      <c r="F88">
        <f>IF(full_precision,C88,E88)</f>
        <v/>
      </c>
      <c r="G88" s="7" t="n">
        <v>78</v>
      </c>
      <c r="H88" s="8">
        <f>E88-G88</f>
        <v/>
      </c>
      <c r="I88" t="inlineStr">
        <is>
          <t>yes</t>
        </is>
      </c>
      <c r="J88" s="5" t="inlineStr">
        <is>
          <t>finance.initiative.fixed_cost.amt.2027 / _finance.cost_per_head.amt</t>
        </is>
      </c>
    </row>
    <row r="89">
      <c r="A89" s="5" t="inlineStr">
        <is>
          <t>finance.initiative.headcount.cnt.2028</t>
        </is>
      </c>
      <c r="B89" t="inlineStr">
        <is>
          <t>people</t>
        </is>
      </c>
      <c r="C89">
        <f>finance.initiative.fixed_cost.amt.2028 / _finance.cost_per_head.amt</f>
        <v/>
      </c>
      <c r="D89" t="n">
        <v>0</v>
      </c>
      <c r="E89" s="7">
        <f>ROUND(C89,D89)</f>
        <v/>
      </c>
      <c r="F89">
        <f>IF(full_precision,C89,E89)</f>
        <v/>
      </c>
      <c r="G89" s="7" t="n">
        <v>100</v>
      </c>
      <c r="H89" s="8">
        <f>E89-G89</f>
        <v/>
      </c>
      <c r="I89" t="inlineStr">
        <is>
          <t>yes</t>
        </is>
      </c>
      <c r="J89" s="5" t="inlineStr">
        <is>
          <t>finance.initiative.fixed_cost.amt.2028 / _finance.cost_per_head.amt</t>
        </is>
      </c>
    </row>
    <row r="90">
      <c r="A90" s="5" t="inlineStr">
        <is>
          <t>finance.initiative.headcount.cnt.2029</t>
        </is>
      </c>
      <c r="B90" t="inlineStr">
        <is>
          <t>people</t>
        </is>
      </c>
      <c r="C90">
        <f>finance.initiative.fixed_cost.amt.2029 / _finance.cost_per_head.amt</f>
        <v/>
      </c>
      <c r="D90" t="n">
        <v>0</v>
      </c>
      <c r="E90" s="7">
        <f>ROUND(C90,D90)</f>
        <v/>
      </c>
      <c r="F90">
        <f>IF(full_precision,C90,E90)</f>
        <v/>
      </c>
      <c r="G90" s="7" t="n">
        <v>156</v>
      </c>
      <c r="H90" s="8">
        <f>E90-G90</f>
        <v/>
      </c>
      <c r="I90" t="inlineStr">
        <is>
          <t>yes</t>
        </is>
      </c>
      <c r="J90" s="5" t="inlineStr">
        <is>
          <t>finance.initiative.fixed_cost.amt.2029 / _finance.cost_per_head.amt</t>
        </is>
      </c>
    </row>
    <row r="91">
      <c r="A91" s="5" t="inlineStr">
        <is>
          <t>finance.initiative.headcount.cnt.2030</t>
        </is>
      </c>
      <c r="B91" t="inlineStr">
        <is>
          <t>people</t>
        </is>
      </c>
      <c r="C91">
        <f>finance.initiative.fixed_cost.amt.2030 / _finance.cost_per_head.amt</f>
        <v/>
      </c>
      <c r="D91" t="n">
        <v>0</v>
      </c>
      <c r="E91" s="7">
        <f>ROUND(C91,D91)</f>
        <v/>
      </c>
      <c r="F91">
        <f>IF(full_precision,C91,E91)</f>
        <v/>
      </c>
      <c r="G91" s="7" t="n">
        <v>178</v>
      </c>
      <c r="H91" s="8">
        <f>E91-G91</f>
        <v/>
      </c>
      <c r="I91" t="inlineStr">
        <is>
          <t>yes</t>
        </is>
      </c>
      <c r="J91" s="5" t="inlineStr">
        <is>
          <t>finance.initiative.fixed_cost.amt.2030 / _finance.cost_per_head.amt</t>
        </is>
      </c>
    </row>
    <row r="92">
      <c r="A92" s="5" t="inlineStr">
        <is>
          <t>finance.initiative.headcount.cnt.2031</t>
        </is>
      </c>
      <c r="B92" t="inlineStr">
        <is>
          <t>people</t>
        </is>
      </c>
      <c r="C92">
        <f>finance.initiative.fixed_cost.amt.2031 / _finance.cost_per_head.amt</f>
        <v/>
      </c>
      <c r="D92" t="n">
        <v>0</v>
      </c>
      <c r="E92" s="7">
        <f>ROUND(C92,D92)</f>
        <v/>
      </c>
      <c r="F92">
        <f>IF(full_precision,C92,E92)</f>
        <v/>
      </c>
      <c r="G92" s="7" t="n">
        <v>189</v>
      </c>
      <c r="H92" s="8">
        <f>E92-G92</f>
        <v/>
      </c>
      <c r="I92" t="inlineStr">
        <is>
          <t>yes</t>
        </is>
      </c>
      <c r="J92" s="5" t="inlineStr">
        <is>
          <t>finance.initiative.fixed_cost.amt.2031 / _finance.cost_per_head.amt</t>
        </is>
      </c>
    </row>
    <row r="93">
      <c r="A93" s="5" t="inlineStr">
        <is>
          <t>finance.initiative.headcount.cnt.2032</t>
        </is>
      </c>
      <c r="B93" t="inlineStr">
        <is>
          <t>people</t>
        </is>
      </c>
      <c r="C93">
        <f>finance.initiative.fixed_cost.amt.2032 / _finance.cost_per_head.amt</f>
        <v/>
      </c>
      <c r="D93" t="n">
        <v>0</v>
      </c>
      <c r="E93" s="7">
        <f>ROUND(C93,D93)</f>
        <v/>
      </c>
      <c r="F93">
        <f>IF(full_precision,C93,E93)</f>
        <v/>
      </c>
      <c r="G93" s="7" t="n">
        <v>200</v>
      </c>
      <c r="H93" s="8">
        <f>E93-G93</f>
        <v/>
      </c>
      <c r="I93" t="inlineStr">
        <is>
          <t>yes</t>
        </is>
      </c>
      <c r="J93" s="5" t="inlineStr">
        <is>
          <t>finance.initiative.fixed_cost.amt.2032 / _finance.cost_per_head.amt</t>
        </is>
      </c>
    </row>
    <row r="94">
      <c r="A94" s="5" t="inlineStr">
        <is>
          <t>finance.initiative.gross_profit.amt.2027</t>
        </is>
      </c>
      <c r="B94" t="inlineStr">
        <is>
          <t>USD M</t>
        </is>
      </c>
      <c r="C94" s="9" t="inlineStr"/>
      <c r="D94" t="n">
        <v>0</v>
      </c>
      <c r="E94" s="10" t="n">
        <v>0</v>
      </c>
      <c r="F94">
        <f>E94</f>
        <v/>
      </c>
      <c r="G94" s="7" t="n">
        <v>0</v>
      </c>
      <c r="H94" s="8">
        <f>E94-G94</f>
        <v/>
      </c>
      <c r="I94" s="9" t="inlineStr">
        <is>
          <t>no - the memo did not record its formula</t>
        </is>
      </c>
      <c r="J94" s="5" t="inlineStr">
        <is>
          <t>depends_on=finance.revenue.amt.2027</t>
        </is>
      </c>
    </row>
    <row r="95">
      <c r="A95" s="5" t="inlineStr">
        <is>
          <t>finance.initiative.variable_opex.amt.2027</t>
        </is>
      </c>
      <c r="B95" t="inlineStr">
        <is>
          <t>USD M</t>
        </is>
      </c>
      <c r="C95">
        <f>finance.revenue.amt.2027 * finance.initiative.variable_opex.pct / 100</f>
        <v/>
      </c>
      <c r="D95" t="n">
        <v>0</v>
      </c>
      <c r="E95" s="7">
        <f>ROUND(C95,D95)</f>
        <v/>
      </c>
      <c r="F95">
        <f>IF(full_precision,C95,E95)</f>
        <v/>
      </c>
      <c r="G95" s="7" t="n">
        <v>0</v>
      </c>
      <c r="H95" s="8">
        <f>E95-G95</f>
        <v/>
      </c>
      <c r="I95" t="inlineStr">
        <is>
          <t>yes</t>
        </is>
      </c>
      <c r="J95" s="5" t="inlineStr">
        <is>
          <t>finance.revenue.amt.2027 * finance.initiative.variable_opex.pct / 100</t>
        </is>
      </c>
    </row>
    <row r="96">
      <c r="A96" s="5" t="inlineStr">
        <is>
          <t>finance.initiative.ebit.amt.2027</t>
        </is>
      </c>
      <c r="B96" t="inlineStr">
        <is>
          <t>USD M</t>
        </is>
      </c>
      <c r="C96">
        <f>finance.initiative.gross_profit.amt.2027 - finance.initiative.variable_opex.amt.2027 - finance.initiative.fixed_cost.amt.2027</f>
        <v/>
      </c>
      <c r="D96" t="n">
        <v>0</v>
      </c>
      <c r="E96" s="7">
        <f>ROUND(C96,D96)</f>
        <v/>
      </c>
      <c r="F96">
        <f>IF(full_precision,C96,E96)</f>
        <v/>
      </c>
      <c r="G96" s="7" t="n">
        <v>-14</v>
      </c>
      <c r="H96" s="8">
        <f>E96-G96</f>
        <v/>
      </c>
      <c r="I96" t="inlineStr">
        <is>
          <t>yes</t>
        </is>
      </c>
      <c r="J96" s="5" t="inlineStr">
        <is>
          <t>finance.initiative.gross_profit.amt.2027 - finance.initiative.variable_opex.amt.2027 - finance.initiative.fixed_cost.amt.2027</t>
        </is>
      </c>
    </row>
    <row r="97">
      <c r="A97" s="5" t="inlineStr">
        <is>
          <t>finance.initiative.gross_profit.amt.2028</t>
        </is>
      </c>
      <c r="B97" t="inlineStr">
        <is>
          <t>USD M</t>
        </is>
      </c>
      <c r="C97">
        <f>(strategy.line_a.revenue.amt.2028 * finance.line_a.gross_margin.pct + strategy.line_b.revenue.amt.2028 * finance.line_b.gross_margin.pct + strategy.line_c.revenue.amt.2028 * finance.line_c.gross_margin.pct) / 100</f>
        <v/>
      </c>
      <c r="D97" t="n">
        <v>1</v>
      </c>
      <c r="E97" s="7">
        <f>ROUND(C97,D97)</f>
        <v/>
      </c>
      <c r="F97">
        <f>IF(full_precision,C97,E97)</f>
        <v/>
      </c>
      <c r="G97" s="7" t="n">
        <v>0.8</v>
      </c>
      <c r="H97" s="8">
        <f>E97-G97</f>
        <v/>
      </c>
      <c r="I97" t="inlineStr">
        <is>
          <t>yes</t>
        </is>
      </c>
      <c r="J97" s="5" t="inlineStr">
        <is>
          <t>(strategy.line_a.revenue.amt.2028 * finance.line_a.gross_margin.pct + strategy.line_b.revenue.amt.2028 * finance.line_b.gross_margin.pct + strategy.line_c.revenue.amt.2028 * finance.line_c.gross_margin.pct) / 100</t>
        </is>
      </c>
    </row>
    <row r="98">
      <c r="A98" s="5" t="inlineStr">
        <is>
          <t>finance.initiative.variable_opex.amt.2028</t>
        </is>
      </c>
      <c r="B98" t="inlineStr">
        <is>
          <t>USD M</t>
        </is>
      </c>
      <c r="C98">
        <f>finance.revenue.amt.2028 * finance.initiative.variable_opex.pct / 100</f>
        <v/>
      </c>
      <c r="D98" t="n">
        <v>1</v>
      </c>
      <c r="E98" s="7">
        <f>ROUND(C98,D98)</f>
        <v/>
      </c>
      <c r="F98">
        <f>IF(full_precision,C98,E98)</f>
        <v/>
      </c>
      <c r="G98" s="7" t="n">
        <v>0.2</v>
      </c>
      <c r="H98" s="8">
        <f>E98-G98</f>
        <v/>
      </c>
      <c r="I98" t="inlineStr">
        <is>
          <t>yes</t>
        </is>
      </c>
      <c r="J98" s="5" t="inlineStr">
        <is>
          <t>finance.revenue.amt.2028 * finance.initiative.variable_opex.pct / 100</t>
        </is>
      </c>
    </row>
    <row r="99">
      <c r="A99" s="5" t="inlineStr">
        <is>
          <t>finance.initiative.ebit.amt.2028</t>
        </is>
      </c>
      <c r="B99" t="inlineStr">
        <is>
          <t>USD M</t>
        </is>
      </c>
      <c r="C99">
        <f>finance.initiative.gross_profit.amt.2028 - finance.initiative.variable_opex.amt.2028 - finance.initiative.fixed_cost.amt.2028</f>
        <v/>
      </c>
      <c r="D99" t="n">
        <v>1</v>
      </c>
      <c r="E99" s="7">
        <f>ROUND(C99,D99)</f>
        <v/>
      </c>
      <c r="F99">
        <f>IF(full_precision,C99,E99)</f>
        <v/>
      </c>
      <c r="G99" s="7" t="n">
        <v>-17.4</v>
      </c>
      <c r="H99" s="8">
        <f>E99-G99</f>
        <v/>
      </c>
      <c r="I99" t="inlineStr">
        <is>
          <t>yes</t>
        </is>
      </c>
      <c r="J99" s="5" t="inlineStr">
        <is>
          <t>finance.initiative.gross_profit.amt.2028 - finance.initiative.variable_opex.amt.2028 - finance.initiative.fixed_cost.amt.2028</t>
        </is>
      </c>
    </row>
    <row r="100">
      <c r="A100" s="5" t="inlineStr">
        <is>
          <t>finance.initiative.gross_profit.amt.2029</t>
        </is>
      </c>
      <c r="B100" t="inlineStr">
        <is>
          <t>USD M</t>
        </is>
      </c>
      <c r="C100">
        <f>(strategy.line_a.revenue.amt.2029 * finance.line_a.gross_margin.pct + strategy.line_b.revenue.amt.2029 * finance.line_b.gross_margin.pct + strategy.line_c.revenue.amt.2029 * finance.line_c.gross_margin.pct) / 100</f>
        <v/>
      </c>
      <c r="D100" t="n">
        <v>1</v>
      </c>
      <c r="E100" s="7">
        <f>ROUND(C100,D100)</f>
        <v/>
      </c>
      <c r="F100">
        <f>IF(full_precision,C100,E100)</f>
        <v/>
      </c>
      <c r="G100" s="7" t="n">
        <v>7.7</v>
      </c>
      <c r="H100" s="8">
        <f>E100-G100</f>
        <v/>
      </c>
      <c r="I100" t="inlineStr">
        <is>
          <t>yes</t>
        </is>
      </c>
      <c r="J100" s="5" t="inlineStr">
        <is>
          <t>(strategy.line_a.revenue.amt.2029 * finance.line_a.gross_margin.pct + strategy.line_b.revenue.amt.2029 * finance.line_b.gross_margin.pct + strategy.line_c.revenue.amt.2029 * finance.line_c.gross_margin.pct) / 100</t>
        </is>
      </c>
    </row>
    <row r="101">
      <c r="A101" s="5" t="inlineStr">
        <is>
          <t>finance.initiative.variable_opex.amt.2029</t>
        </is>
      </c>
      <c r="B101" t="inlineStr">
        <is>
          <t>USD M</t>
        </is>
      </c>
      <c r="C101">
        <f>finance.revenue.amt.2029 * finance.initiative.variable_opex.pct / 100</f>
        <v/>
      </c>
      <c r="D101" t="n">
        <v>0</v>
      </c>
      <c r="E101" s="7">
        <f>ROUND(C101,D101)</f>
        <v/>
      </c>
      <c r="F101">
        <f>IF(full_precision,C101,E101)</f>
        <v/>
      </c>
      <c r="G101" s="7" t="n">
        <v>2</v>
      </c>
      <c r="H101" s="8">
        <f>E101-G101</f>
        <v/>
      </c>
      <c r="I101" t="inlineStr">
        <is>
          <t>yes</t>
        </is>
      </c>
      <c r="J101" s="5" t="inlineStr">
        <is>
          <t>finance.revenue.amt.2029 * finance.initiative.variable_opex.pct / 100</t>
        </is>
      </c>
    </row>
    <row r="102">
      <c r="A102" s="5" t="inlineStr">
        <is>
          <t>finance.initiative.ebit.amt.2029</t>
        </is>
      </c>
      <c r="B102" t="inlineStr">
        <is>
          <t>USD M</t>
        </is>
      </c>
      <c r="C102">
        <f>finance.initiative.gross_profit.amt.2029 - finance.initiative.variable_opex.amt.2029 - finance.initiative.fixed_cost.amt.2029</f>
        <v/>
      </c>
      <c r="D102" t="n">
        <v>1</v>
      </c>
      <c r="E102" s="7">
        <f>ROUND(C102,D102)</f>
        <v/>
      </c>
      <c r="F102">
        <f>IF(full_precision,C102,E102)</f>
        <v/>
      </c>
      <c r="G102" s="7" t="n">
        <v>-22.3</v>
      </c>
      <c r="H102" s="8">
        <f>E102-G102</f>
        <v/>
      </c>
      <c r="I102" t="inlineStr">
        <is>
          <t>yes</t>
        </is>
      </c>
      <c r="J102" s="5" t="inlineStr">
        <is>
          <t>finance.initiative.gross_profit.amt.2029 - finance.initiative.variable_opex.amt.2029 - finance.initiative.fixed_cost.amt.2029</t>
        </is>
      </c>
    </row>
    <row r="103">
      <c r="A103" s="5" t="inlineStr">
        <is>
          <t>finance.initiative.gross_profit.amt.2030</t>
        </is>
      </c>
      <c r="B103" t="inlineStr">
        <is>
          <t>USD M</t>
        </is>
      </c>
      <c r="C103">
        <f>(strategy.line_a.revenue.amt.2030 * finance.line_a.gross_margin.pct + strategy.line_b.revenue.amt.2030 * finance.line_b.gross_margin.pct + strategy.line_c.revenue.amt.2030 * finance.line_c.gross_margin.pct) / 100</f>
        <v/>
      </c>
      <c r="D103" t="n">
        <v>1</v>
      </c>
      <c r="E103" s="7">
        <f>ROUND(C103,D103)</f>
        <v/>
      </c>
      <c r="F103">
        <f>IF(full_precision,C103,E103)</f>
        <v/>
      </c>
      <c r="G103" s="7" t="n">
        <v>15.9</v>
      </c>
      <c r="H103" s="8">
        <f>E103-G103</f>
        <v/>
      </c>
      <c r="I103" t="inlineStr">
        <is>
          <t>yes</t>
        </is>
      </c>
      <c r="J103" s="5" t="inlineStr">
        <is>
          <t>(strategy.line_a.revenue.amt.2030 * finance.line_a.gross_margin.pct + strategy.line_b.revenue.amt.2030 * finance.line_b.gross_margin.pct + strategy.line_c.revenue.amt.2030 * finance.line_c.gross_margin.pct) / 100</t>
        </is>
      </c>
    </row>
    <row r="104">
      <c r="A104" s="5" t="inlineStr">
        <is>
          <t>finance.initiative.variable_opex.amt.2030</t>
        </is>
      </c>
      <c r="B104" t="inlineStr">
        <is>
          <t>USD M</t>
        </is>
      </c>
      <c r="C104">
        <f>finance.revenue.amt.2030 * finance.initiative.variable_opex.pct / 100</f>
        <v/>
      </c>
      <c r="D104" t="n">
        <v>1</v>
      </c>
      <c r="E104" s="7">
        <f>ROUND(C104,D104)</f>
        <v/>
      </c>
      <c r="F104">
        <f>IF(full_precision,C104,E104)</f>
        <v/>
      </c>
      <c r="G104" s="7" t="n">
        <v>3.9</v>
      </c>
      <c r="H104" s="8">
        <f>E104-G104</f>
        <v/>
      </c>
      <c r="I104" t="inlineStr">
        <is>
          <t>yes</t>
        </is>
      </c>
      <c r="J104" s="5" t="inlineStr">
        <is>
          <t>finance.revenue.amt.2030 * finance.initiative.variable_opex.pct / 100</t>
        </is>
      </c>
    </row>
    <row r="105">
      <c r="A105" s="5" t="inlineStr">
        <is>
          <t>finance.initiative.ebit.amt.2030</t>
        </is>
      </c>
      <c r="B105" t="inlineStr">
        <is>
          <t>USD M</t>
        </is>
      </c>
      <c r="C105">
        <f>finance.initiative.gross_profit.amt.2030 - finance.initiative.variable_opex.amt.2030 - finance.initiative.fixed_cost.amt.2030</f>
        <v/>
      </c>
      <c r="D105" t="n">
        <v>0</v>
      </c>
      <c r="E105" s="7">
        <f>ROUND(C105,D105)</f>
        <v/>
      </c>
      <c r="F105">
        <f>IF(full_precision,C105,E105)</f>
        <v/>
      </c>
      <c r="G105" s="7" t="n">
        <v>-20</v>
      </c>
      <c r="H105" s="8">
        <f>E105-G105</f>
        <v/>
      </c>
      <c r="I105" t="inlineStr">
        <is>
          <t>yes</t>
        </is>
      </c>
      <c r="J105" s="5" t="inlineStr">
        <is>
          <t>finance.initiative.gross_profit.amt.2030 - finance.initiative.variable_opex.amt.2030 - finance.initiative.fixed_cost.amt.2030</t>
        </is>
      </c>
    </row>
    <row r="106">
      <c r="A106" s="5" t="inlineStr">
        <is>
          <t>finance.initiative.gross_profit.amt.2031</t>
        </is>
      </c>
      <c r="B106" t="inlineStr">
        <is>
          <t>USD M</t>
        </is>
      </c>
      <c r="C106">
        <f>(strategy.line_a.revenue.amt.2031 * finance.line_a.gross_margin.pct + strategy.line_b.revenue.amt.2031 * finance.line_b.gross_margin.pct + strategy.line_c.revenue.amt.2031 * finance.line_c.gross_margin.pct) / 100</f>
        <v/>
      </c>
      <c r="D106" t="n">
        <v>0</v>
      </c>
      <c r="E106" s="7">
        <f>ROUND(C106,D106)</f>
        <v/>
      </c>
      <c r="F106">
        <f>IF(full_precision,C106,E106)</f>
        <v/>
      </c>
      <c r="G106" s="7" t="n">
        <v>29</v>
      </c>
      <c r="H106" s="8">
        <f>E106-G106</f>
        <v/>
      </c>
      <c r="I106" t="inlineStr">
        <is>
          <t>yes</t>
        </is>
      </c>
      <c r="J106" s="5" t="inlineStr">
        <is>
          <t>(strategy.line_a.revenue.amt.2031 * finance.line_a.gross_margin.pct + strategy.line_b.revenue.amt.2031 * finance.line_b.gross_margin.pct + strategy.line_c.revenue.amt.2031 * finance.line_c.gross_margin.pct) / 100</t>
        </is>
      </c>
    </row>
    <row r="107">
      <c r="A107" s="5" t="inlineStr">
        <is>
          <t>finance.initiative.variable_opex.amt.2031</t>
        </is>
      </c>
      <c r="B107" t="inlineStr">
        <is>
          <t>USD M</t>
        </is>
      </c>
      <c r="C107">
        <f>finance.revenue.amt.2031 * finance.initiative.variable_opex.pct / 100</f>
        <v/>
      </c>
      <c r="D107" t="n">
        <v>1</v>
      </c>
      <c r="E107" s="7">
        <f>ROUND(C107,D107)</f>
        <v/>
      </c>
      <c r="F107">
        <f>IF(full_precision,C107,E107)</f>
        <v/>
      </c>
      <c r="G107" s="7" t="n">
        <v>6.9</v>
      </c>
      <c r="H107" s="8">
        <f>E107-G107</f>
        <v/>
      </c>
      <c r="I107" t="inlineStr">
        <is>
          <t>yes</t>
        </is>
      </c>
      <c r="J107" s="5" t="inlineStr">
        <is>
          <t>finance.revenue.amt.2031 * finance.initiative.variable_opex.pct / 100</t>
        </is>
      </c>
    </row>
    <row r="108">
      <c r="A108" s="5" t="inlineStr">
        <is>
          <t>finance.initiative.ebit.amt.2031</t>
        </is>
      </c>
      <c r="B108" t="inlineStr">
        <is>
          <t>USD M</t>
        </is>
      </c>
      <c r="C108">
        <f>finance.initiative.gross_profit.amt.2031 - finance.initiative.variable_opex.amt.2031 - finance.initiative.fixed_cost.amt.2031</f>
        <v/>
      </c>
      <c r="D108" t="n">
        <v>1</v>
      </c>
      <c r="E108" s="7">
        <f>ROUND(C108,D108)</f>
        <v/>
      </c>
      <c r="F108">
        <f>IF(full_precision,C108,E108)</f>
        <v/>
      </c>
      <c r="G108" s="7" t="n">
        <v>-11.9</v>
      </c>
      <c r="H108" s="8">
        <f>E108-G108</f>
        <v/>
      </c>
      <c r="I108" t="inlineStr">
        <is>
          <t>yes</t>
        </is>
      </c>
      <c r="J108" s="5" t="inlineStr">
        <is>
          <t>finance.initiative.gross_profit.amt.2031 - finance.initiative.variable_opex.amt.2031 - finance.initiative.fixed_cost.amt.2031</t>
        </is>
      </c>
    </row>
    <row r="109">
      <c r="A109" s="5" t="inlineStr">
        <is>
          <t>finance.initiative.gross_profit.amt.2032</t>
        </is>
      </c>
      <c r="B109" t="inlineStr">
        <is>
          <t>USD M</t>
        </is>
      </c>
      <c r="C109">
        <f>(strategy.line_a.revenue.amt.2032 * finance.line_a.gross_margin.pct + strategy.line_b.revenue.amt.2032 * finance.line_b.gross_margin.pct + strategy.line_c.revenue.amt.2032 * finance.line_c.gross_margin.pct) / 100</f>
        <v/>
      </c>
      <c r="D109" t="n">
        <v>1</v>
      </c>
      <c r="E109" s="7">
        <f>ROUND(C109,D109)</f>
        <v/>
      </c>
      <c r="F109">
        <f>IF(full_precision,C109,E109)</f>
        <v/>
      </c>
      <c r="G109" s="7" t="n">
        <v>43.1</v>
      </c>
      <c r="H109" s="8">
        <f>E109-G109</f>
        <v/>
      </c>
      <c r="I109" t="inlineStr">
        <is>
          <t>yes</t>
        </is>
      </c>
      <c r="J109" s="5" t="inlineStr">
        <is>
          <t>(strategy.line_a.revenue.amt.2032 * finance.line_a.gross_margin.pct + strategy.line_b.revenue.amt.2032 * finance.line_b.gross_margin.pct + strategy.line_c.revenue.amt.2032 * finance.line_c.gross_margin.pct) / 100</t>
        </is>
      </c>
    </row>
    <row r="110">
      <c r="A110" s="5" t="inlineStr">
        <is>
          <t>finance.initiative.variable_opex.amt.2032</t>
        </is>
      </c>
      <c r="B110" t="inlineStr">
        <is>
          <t>USD M</t>
        </is>
      </c>
      <c r="C110">
        <f>finance.revenue.amt.2032 * finance.initiative.variable_opex.pct / 100</f>
        <v/>
      </c>
      <c r="D110" t="n">
        <v>1</v>
      </c>
      <c r="E110" s="7">
        <f>ROUND(C110,D110)</f>
        <v/>
      </c>
      <c r="F110">
        <f>IF(full_precision,C110,E110)</f>
        <v/>
      </c>
      <c r="G110" s="7" t="n">
        <v>9.9</v>
      </c>
      <c r="H110" s="8">
        <f>E110-G110</f>
        <v/>
      </c>
      <c r="I110" t="inlineStr">
        <is>
          <t>yes</t>
        </is>
      </c>
      <c r="J110" s="5" t="inlineStr">
        <is>
          <t>finance.revenue.amt.2032 * finance.initiative.variable_opex.pct / 100</t>
        </is>
      </c>
    </row>
    <row r="111">
      <c r="A111" s="5" t="inlineStr">
        <is>
          <t>finance.initiative.ebit.amt.2032</t>
        </is>
      </c>
      <c r="B111" t="inlineStr">
        <is>
          <t>USD M</t>
        </is>
      </c>
      <c r="C111">
        <f>finance.initiative.gross_profit.amt.2032 - finance.initiative.variable_opex.amt.2032 - finance.initiative.fixed_cost.amt.2032</f>
        <v/>
      </c>
      <c r="D111" t="n">
        <v>1</v>
      </c>
      <c r="E111" s="7">
        <f>ROUND(C111,D111)</f>
        <v/>
      </c>
      <c r="F111">
        <f>IF(full_precision,C111,E111)</f>
        <v/>
      </c>
      <c r="G111" s="7" t="n">
        <v>-2.8</v>
      </c>
      <c r="H111" s="8">
        <f>E111-G111</f>
        <v/>
      </c>
      <c r="I111" t="inlineStr">
        <is>
          <t>yes</t>
        </is>
      </c>
      <c r="J111" s="5" t="inlineStr">
        <is>
          <t>finance.initiative.gross_profit.amt.2032 - finance.initiative.variable_opex.amt.2032 - finance.initiative.fixed_cost.amt.2032</t>
        </is>
      </c>
    </row>
    <row r="112">
      <c r="A112" s="5" t="inlineStr">
        <is>
          <t>finance.initiative.depreciation.amt.2028</t>
        </is>
      </c>
      <c r="B112" t="inlineStr">
        <is>
          <t>USD M</t>
        </is>
      </c>
      <c r="C112">
        <f>finance.initiative.capex.amt.2027 / _finance.depreciation_life.dur + finance.initiative.capex.amt.2028 / 16</f>
        <v/>
      </c>
      <c r="D112" t="n">
        <v>1</v>
      </c>
      <c r="E112" s="7">
        <f>ROUND(C112,D112)</f>
        <v/>
      </c>
      <c r="F112">
        <f>IF(full_precision,C112,E112)</f>
        <v/>
      </c>
      <c r="G112" s="7" t="n">
        <v>3.9</v>
      </c>
      <c r="H112" s="8">
        <f>E112-G112</f>
        <v/>
      </c>
      <c r="I112" t="inlineStr">
        <is>
          <t>yes</t>
        </is>
      </c>
      <c r="J112" s="5" t="inlineStr">
        <is>
          <t>(finance.initiative.capex.amt.2027) / _finance.depreciation_life.dur + finance.initiative.capex.amt.2028 / 16</t>
        </is>
      </c>
    </row>
    <row r="113">
      <c r="A113" s="5" t="inlineStr">
        <is>
          <t>finance.initiative.depreciation.amt.2029</t>
        </is>
      </c>
      <c r="B113" t="inlineStr">
        <is>
          <t>USD M</t>
        </is>
      </c>
      <c r="C113">
        <f>(finance.initiative.capex.amt.2027 + finance.initiative.capex.amt.2028) / _finance.depreciation_life.dur + finance.initiative.capex.amt.2029 / 16</f>
        <v/>
      </c>
      <c r="D113" t="n">
        <v>0</v>
      </c>
      <c r="E113" s="7">
        <f>ROUND(C113,D113)</f>
        <v/>
      </c>
      <c r="F113">
        <f>IF(full_precision,C113,E113)</f>
        <v/>
      </c>
      <c r="G113" s="7" t="n">
        <v>7</v>
      </c>
      <c r="H113" s="8">
        <f>E113-G113</f>
        <v/>
      </c>
      <c r="I113" t="inlineStr">
        <is>
          <t>yes</t>
        </is>
      </c>
      <c r="J113" s="5" t="inlineStr">
        <is>
          <t>(finance.initiative.capex.amt.2027 + finance.initiative.capex.amt.2028) / _finance.depreciation_life.dur + finance.initiative.capex.amt.2029 / 16</t>
        </is>
      </c>
    </row>
    <row r="114">
      <c r="A114" s="5" t="inlineStr">
        <is>
          <t>finance.initiative.depreciation.amt.2030</t>
        </is>
      </c>
      <c r="B114" t="inlineStr">
        <is>
          <t>USD M</t>
        </is>
      </c>
      <c r="C114">
        <f>(finance.initiative.capex.amt.2027 + finance.initiative.capex.amt.2028 + finance.initiative.capex.amt.2029) / _finance.depreciation_life.dur + finance.initiative.capex.amt.2030 / 16</f>
        <v/>
      </c>
      <c r="D114" t="n">
        <v>1</v>
      </c>
      <c r="E114" s="7">
        <f>ROUND(C114,D114)</f>
        <v/>
      </c>
      <c r="F114">
        <f>IF(full_precision,C114,E114)</f>
        <v/>
      </c>
      <c r="G114" s="7" t="n">
        <v>11.2</v>
      </c>
      <c r="H114" s="8">
        <f>E114-G114</f>
        <v/>
      </c>
      <c r="I114" t="inlineStr">
        <is>
          <t>yes</t>
        </is>
      </c>
      <c r="J114" s="5" t="inlineStr">
        <is>
          <t>(finance.initiative.capex.amt.2027 + finance.initiative.capex.amt.2028 + finance.initiative.capex.amt.2029) / _finance.depreciation_life.dur + finance.initiative.capex.amt.2030 / 16</t>
        </is>
      </c>
    </row>
    <row r="115">
      <c r="A115" s="5" t="inlineStr">
        <is>
          <t>finance.initiative.depreciation.amt.2031</t>
        </is>
      </c>
      <c r="B115" t="inlineStr">
        <is>
          <t>USD M</t>
        </is>
      </c>
      <c r="C115">
        <f>(finance.initiative.capex.amt.2027 + finance.initiative.capex.amt.2028 + finance.initiative.capex.amt.2029 + finance.initiative.capex.amt.2030) / _finance.depreciation_life.dur + finance.initiative.capex.amt.2031 / 16</f>
        <v/>
      </c>
      <c r="D115" t="n">
        <v>1</v>
      </c>
      <c r="E115" s="7">
        <f>ROUND(C115,D115)</f>
        <v/>
      </c>
      <c r="F115">
        <f>IF(full_precision,C115,E115)</f>
        <v/>
      </c>
      <c r="G115" s="7" t="n">
        <v>15.1</v>
      </c>
      <c r="H115" s="8">
        <f>E115-G115</f>
        <v/>
      </c>
      <c r="I115" t="inlineStr">
        <is>
          <t>yes</t>
        </is>
      </c>
      <c r="J115" s="5" t="inlineStr">
        <is>
          <t>(finance.initiative.capex.amt.2027 + finance.initiative.capex.amt.2028 + finance.initiative.capex.amt.2029 + finance.initiative.capex.amt.2030) / _finance.depreciation_life.dur + finance.initiative.capex.amt.2031 / 16</t>
        </is>
      </c>
    </row>
    <row r="116">
      <c r="A116" s="5" t="inlineStr">
        <is>
          <t>finance.initiative.depreciation.amt.2032</t>
        </is>
      </c>
      <c r="B116" t="inlineStr">
        <is>
          <t>USD M</t>
        </is>
      </c>
      <c r="C116">
        <f>(finance.initiative.capex.amt.2027 + finance.initiative.capex.amt.2028 + finance.initiative.capex.amt.2029 + finance.initiative.capex.amt.2030 + finance.initiative.capex.amt.2031) / _finance.depreciation_life.dur + finance.initiative.capex.amt.2032 / 16</f>
        <v/>
      </c>
      <c r="D116" t="n">
        <v>1</v>
      </c>
      <c r="E116" s="7">
        <f>ROUND(C116,D116)</f>
        <v/>
      </c>
      <c r="F116">
        <f>IF(full_precision,C116,E116)</f>
        <v/>
      </c>
      <c r="G116" s="7" t="n">
        <v>18.4</v>
      </c>
      <c r="H116" s="8">
        <f>E116-G116</f>
        <v/>
      </c>
      <c r="I116" t="inlineStr">
        <is>
          <t>yes</t>
        </is>
      </c>
      <c r="J116" s="5" t="inlineStr">
        <is>
          <t>(finance.initiative.capex.amt.2027 + finance.initiative.capex.amt.2028 + finance.initiative.capex.amt.2029 + finance.initiative.capex.amt.2030 + finance.initiative.capex.amt.2031) / _finance.depreciation_life.dur + finance.initiative.capex.amt.2032 / 16</t>
        </is>
      </c>
    </row>
    <row r="117">
      <c r="A117" s="5" t="inlineStr">
        <is>
          <t>finance.initiative.wc.amt.2027</t>
        </is>
      </c>
      <c r="B117" t="inlineStr">
        <is>
          <t>USD M</t>
        </is>
      </c>
      <c r="C117">
        <f>finance.revenue.amt.2027 * _finance.working_capital.pct / 100</f>
        <v/>
      </c>
      <c r="D117" t="n">
        <v>0</v>
      </c>
      <c r="E117" s="7">
        <f>ROUND(C117,D117)</f>
        <v/>
      </c>
      <c r="F117">
        <f>IF(full_precision,C117,E117)</f>
        <v/>
      </c>
      <c r="G117" s="7" t="n">
        <v>0</v>
      </c>
      <c r="H117" s="8">
        <f>E117-G117</f>
        <v/>
      </c>
      <c r="I117" t="inlineStr">
        <is>
          <t>yes</t>
        </is>
      </c>
      <c r="J117" s="5" t="inlineStr">
        <is>
          <t>finance.revenue.amt.2027 * _finance.working_capital.pct / 100</t>
        </is>
      </c>
    </row>
    <row r="118">
      <c r="A118" s="5" t="inlineStr">
        <is>
          <t>finance.initiative.wc.amt.2028</t>
        </is>
      </c>
      <c r="B118" t="inlineStr">
        <is>
          <t>USD M</t>
        </is>
      </c>
      <c r="C118">
        <f>finance.revenue.amt.2028 * _finance.working_capital.pct / 100</f>
        <v/>
      </c>
      <c r="D118" t="n">
        <v>1</v>
      </c>
      <c r="E118" s="7">
        <f>ROUND(C118,D118)</f>
        <v/>
      </c>
      <c r="F118">
        <f>IF(full_precision,C118,E118)</f>
        <v/>
      </c>
      <c r="G118" s="7" t="n">
        <v>0.7</v>
      </c>
      <c r="H118" s="8">
        <f>E118-G118</f>
        <v/>
      </c>
      <c r="I118" t="inlineStr">
        <is>
          <t>yes</t>
        </is>
      </c>
      <c r="J118" s="5" t="inlineStr">
        <is>
          <t>finance.revenue.amt.2028 * _finance.working_capital.pct / 100</t>
        </is>
      </c>
    </row>
    <row r="119">
      <c r="A119" s="5" t="inlineStr">
        <is>
          <t>finance.initiative.wc.amt.2029</t>
        </is>
      </c>
      <c r="B119" t="inlineStr">
        <is>
          <t>USD M</t>
        </is>
      </c>
      <c r="C119">
        <f>finance.revenue.amt.2029 * _finance.working_capital.pct / 100</f>
        <v/>
      </c>
      <c r="D119" t="n">
        <v>1</v>
      </c>
      <c r="E119" s="7">
        <f>ROUND(C119,D119)</f>
        <v/>
      </c>
      <c r="F119">
        <f>IF(full_precision,C119,E119)</f>
        <v/>
      </c>
      <c r="G119" s="7" t="n">
        <v>6.1</v>
      </c>
      <c r="H119" s="8">
        <f>E119-G119</f>
        <v/>
      </c>
      <c r="I119" t="inlineStr">
        <is>
          <t>yes</t>
        </is>
      </c>
      <c r="J119" s="5" t="inlineStr">
        <is>
          <t>finance.revenue.amt.2029 * _finance.working_capital.pct / 100</t>
        </is>
      </c>
    </row>
    <row r="120">
      <c r="A120" s="5" t="inlineStr">
        <is>
          <t>finance.initiative.wc.amt.2030</t>
        </is>
      </c>
      <c r="B120" t="inlineStr">
        <is>
          <t>USD M</t>
        </is>
      </c>
      <c r="C120">
        <f>finance.revenue.amt.2030 * _finance.working_capital.pct / 100</f>
        <v/>
      </c>
      <c r="D120" t="n">
        <v>1</v>
      </c>
      <c r="E120" s="7">
        <f>ROUND(C120,D120)</f>
        <v/>
      </c>
      <c r="F120">
        <f>IF(full_precision,C120,E120)</f>
        <v/>
      </c>
      <c r="G120" s="7" t="n">
        <v>11.8</v>
      </c>
      <c r="H120" s="8">
        <f>E120-G120</f>
        <v/>
      </c>
      <c r="I120" t="inlineStr">
        <is>
          <t>yes</t>
        </is>
      </c>
      <c r="J120" s="5" t="inlineStr">
        <is>
          <t>finance.revenue.amt.2030 * _finance.working_capital.pct / 100</t>
        </is>
      </c>
    </row>
    <row r="121">
      <c r="A121" s="5" t="inlineStr">
        <is>
          <t>finance.initiative.wc.amt.2031</t>
        </is>
      </c>
      <c r="B121" t="inlineStr">
        <is>
          <t>USD M</t>
        </is>
      </c>
      <c r="C121">
        <f>finance.revenue.amt.2031 * _finance.working_capital.pct / 100</f>
        <v/>
      </c>
      <c r="D121" t="n">
        <v>1</v>
      </c>
      <c r="E121" s="7">
        <f>ROUND(C121,D121)</f>
        <v/>
      </c>
      <c r="F121">
        <f>IF(full_precision,C121,E121)</f>
        <v/>
      </c>
      <c r="G121" s="7" t="n">
        <v>20.6</v>
      </c>
      <c r="H121" s="8">
        <f>E121-G121</f>
        <v/>
      </c>
      <c r="I121" t="inlineStr">
        <is>
          <t>yes</t>
        </is>
      </c>
      <c r="J121" s="5" t="inlineStr">
        <is>
          <t>finance.revenue.amt.2031 * _finance.working_capital.pct / 100</t>
        </is>
      </c>
    </row>
    <row r="122">
      <c r="A122" s="5" t="inlineStr">
        <is>
          <t>finance.initiative.wc.amt.2032</t>
        </is>
      </c>
      <c r="B122" t="inlineStr">
        <is>
          <t>USD M</t>
        </is>
      </c>
      <c r="C122">
        <f>finance.revenue.amt.2032 * _finance.working_capital.pct / 100</f>
        <v/>
      </c>
      <c r="D122" t="n">
        <v>1</v>
      </c>
      <c r="E122" s="7">
        <f>ROUND(C122,D122)</f>
        <v/>
      </c>
      <c r="F122">
        <f>IF(full_precision,C122,E122)</f>
        <v/>
      </c>
      <c r="G122" s="7" t="n">
        <v>29.7</v>
      </c>
      <c r="H122" s="8">
        <f>E122-G122</f>
        <v/>
      </c>
      <c r="I122" t="inlineStr">
        <is>
          <t>yes</t>
        </is>
      </c>
      <c r="J122" s="5" t="inlineStr">
        <is>
          <t>finance.revenue.amt.2032 * _finance.working_capital.pct / 100</t>
        </is>
      </c>
    </row>
    <row r="123">
      <c r="A123" s="5" t="inlineStr">
        <is>
          <t>finance.initiative.wc_change.amt.2027</t>
        </is>
      </c>
      <c r="B123" t="inlineStr">
        <is>
          <t>USD M</t>
        </is>
      </c>
      <c r="C123" s="9" t="inlineStr"/>
      <c r="D123" t="n">
        <v>0</v>
      </c>
      <c r="E123" s="10" t="n">
        <v>0</v>
      </c>
      <c r="F123">
        <f>E123</f>
        <v/>
      </c>
      <c r="G123" s="7" t="n">
        <v>0</v>
      </c>
      <c r="H123" s="8">
        <f>E123-G123</f>
        <v/>
      </c>
      <c r="I123" s="9" t="inlineStr">
        <is>
          <t>no - the memo did not record its formula</t>
        </is>
      </c>
      <c r="J123" s="5" t="inlineStr">
        <is>
          <t>depends_on=finance.initiative.wc.amt.2027</t>
        </is>
      </c>
    </row>
    <row r="124">
      <c r="A124" s="5" t="inlineStr">
        <is>
          <t>finance.initiative.fcf.amt.2027</t>
        </is>
      </c>
      <c r="B124" t="inlineStr">
        <is>
          <t>USD M</t>
        </is>
      </c>
      <c r="C124">
        <f>finance.initiative.ebit.amt.2027 + finance.initiative.depreciation.amt.2027 - finance.initiative.capex.amt.2027 - finance.initiative.wc_change.amt.2027</f>
        <v/>
      </c>
      <c r="D124" t="n">
        <v>1</v>
      </c>
      <c r="E124" s="7">
        <f>ROUND(C124,D124)</f>
        <v/>
      </c>
      <c r="F124">
        <f>IF(full_precision,C124,E124)</f>
        <v/>
      </c>
      <c r="G124" s="7" t="n">
        <v>-34.6</v>
      </c>
      <c r="H124" s="8">
        <f>E124-G124</f>
        <v/>
      </c>
      <c r="I124" t="inlineStr">
        <is>
          <t>yes</t>
        </is>
      </c>
      <c r="J124" s="5" t="inlineStr">
        <is>
          <t>finance.initiative.ebit.amt.2027 + finance.initiative.depreciation.amt.2027 - finance.initiative.capex.amt.2027 - finance.initiative.wc_change.amt.2027</t>
        </is>
      </c>
    </row>
    <row r="125">
      <c r="A125" s="5" t="inlineStr">
        <is>
          <t>finance.initiative.wc_change.amt.2028</t>
        </is>
      </c>
      <c r="B125" t="inlineStr">
        <is>
          <t>USD M</t>
        </is>
      </c>
      <c r="C125">
        <f>finance.initiative.wc.amt.2028 - finance.initiative.wc.amt.2027</f>
        <v/>
      </c>
      <c r="D125" t="n">
        <v>1</v>
      </c>
      <c r="E125" s="7">
        <f>ROUND(C125,D125)</f>
        <v/>
      </c>
      <c r="F125">
        <f>IF(full_precision,C125,E125)</f>
        <v/>
      </c>
      <c r="G125" s="7" t="n">
        <v>0.7</v>
      </c>
      <c r="H125" s="8">
        <f>E125-G125</f>
        <v/>
      </c>
      <c r="I125" t="inlineStr">
        <is>
          <t>yes</t>
        </is>
      </c>
      <c r="J125" s="5" t="inlineStr">
        <is>
          <t>finance.initiative.wc.amt.2028 - finance.initiative.wc.amt.2027</t>
        </is>
      </c>
    </row>
    <row r="126">
      <c r="A126" s="5" t="inlineStr">
        <is>
          <t>finance.initiative.fcf.amt.2028</t>
        </is>
      </c>
      <c r="B126" t="inlineStr">
        <is>
          <t>USD M</t>
        </is>
      </c>
      <c r="C126">
        <f>finance.initiative.ebit.amt.2028 + finance.initiative.depreciation.amt.2028 - finance.initiative.capex.amt.2028 - finance.initiative.wc_change.amt.2028</f>
        <v/>
      </c>
      <c r="D126" t="n">
        <v>1</v>
      </c>
      <c r="E126" s="7">
        <f>ROUND(C126,D126)</f>
        <v/>
      </c>
      <c r="F126">
        <f>IF(full_precision,C126,E126)</f>
        <v/>
      </c>
      <c r="G126" s="7" t="n">
        <v>-32.2</v>
      </c>
      <c r="H126" s="8">
        <f>E126-G126</f>
        <v/>
      </c>
      <c r="I126" t="inlineStr">
        <is>
          <t>yes</t>
        </is>
      </c>
      <c r="J126" s="5" t="inlineStr">
        <is>
          <t>finance.initiative.ebit.amt.2028 + finance.initiative.depreciation.amt.2028 - finance.initiative.capex.amt.2028 - finance.initiative.wc_change.amt.2028</t>
        </is>
      </c>
    </row>
    <row r="127">
      <c r="A127" s="5" t="inlineStr">
        <is>
          <t>finance.initiative.wc_change.amt.2029</t>
        </is>
      </c>
      <c r="B127" t="inlineStr">
        <is>
          <t>USD M</t>
        </is>
      </c>
      <c r="C127">
        <f>finance.initiative.wc.amt.2029 - finance.initiative.wc.amt.2028</f>
        <v/>
      </c>
      <c r="D127" t="n">
        <v>1</v>
      </c>
      <c r="E127" s="7">
        <f>ROUND(C127,D127)</f>
        <v/>
      </c>
      <c r="F127">
        <f>IF(full_precision,C127,E127)</f>
        <v/>
      </c>
      <c r="G127" s="7" t="n">
        <v>5.4</v>
      </c>
      <c r="H127" s="8">
        <f>E127-G127</f>
        <v/>
      </c>
      <c r="I127" t="inlineStr">
        <is>
          <t>yes</t>
        </is>
      </c>
      <c r="J127" s="5" t="inlineStr">
        <is>
          <t>finance.initiative.wc.amt.2029 - finance.initiative.wc.amt.2028</t>
        </is>
      </c>
    </row>
    <row r="128">
      <c r="A128" s="5" t="inlineStr">
        <is>
          <t>finance.initiative.fcf.amt.2029</t>
        </is>
      </c>
      <c r="B128" t="inlineStr">
        <is>
          <t>USD M</t>
        </is>
      </c>
      <c r="C128">
        <f>finance.initiative.ebit.amt.2029 + finance.initiative.depreciation.amt.2029 - finance.initiative.capex.amt.2029 - finance.initiative.wc_change.amt.2029</f>
        <v/>
      </c>
      <c r="D128" t="n">
        <v>1</v>
      </c>
      <c r="E128" s="7">
        <f>ROUND(C128,D128)</f>
        <v/>
      </c>
      <c r="F128">
        <f>IF(full_precision,C128,E128)</f>
        <v/>
      </c>
      <c r="G128" s="7" t="n">
        <v>-52.7</v>
      </c>
      <c r="H128" s="8">
        <f>E128-G128</f>
        <v/>
      </c>
      <c r="I128" t="inlineStr">
        <is>
          <t>yes</t>
        </is>
      </c>
      <c r="J128" s="5" t="inlineStr">
        <is>
          <t>finance.initiative.ebit.amt.2029 + finance.initiative.depreciation.amt.2029 - finance.initiative.capex.amt.2029 - finance.initiative.wc_change.amt.2029</t>
        </is>
      </c>
    </row>
    <row r="129">
      <c r="A129" s="5" t="inlineStr">
        <is>
          <t>finance.initiative.wc_change.amt.2030</t>
        </is>
      </c>
      <c r="B129" t="inlineStr">
        <is>
          <t>USD M</t>
        </is>
      </c>
      <c r="C129">
        <f>finance.initiative.wc.amt.2030 - finance.initiative.wc.amt.2029</f>
        <v/>
      </c>
      <c r="D129" t="n">
        <v>1</v>
      </c>
      <c r="E129" s="7">
        <f>ROUND(C129,D129)</f>
        <v/>
      </c>
      <c r="F129">
        <f>IF(full_precision,C129,E129)</f>
        <v/>
      </c>
      <c r="G129" s="7" t="n">
        <v>5.7</v>
      </c>
      <c r="H129" s="8">
        <f>E129-G129</f>
        <v/>
      </c>
      <c r="I129" t="inlineStr">
        <is>
          <t>yes</t>
        </is>
      </c>
      <c r="J129" s="5" t="inlineStr">
        <is>
          <t>finance.initiative.wc.amt.2030 - finance.initiative.wc.amt.2029</t>
        </is>
      </c>
    </row>
    <row r="130">
      <c r="A130" s="5" t="inlineStr">
        <is>
          <t>finance.initiative.fcf.amt.2030</t>
        </is>
      </c>
      <c r="B130" t="inlineStr">
        <is>
          <t>USD M</t>
        </is>
      </c>
      <c r="C130">
        <f>finance.initiative.ebit.amt.2030 + finance.initiative.depreciation.amt.2030 - finance.initiative.capex.amt.2030 - finance.initiative.wc_change.amt.2030</f>
        <v/>
      </c>
      <c r="D130" t="n">
        <v>1</v>
      </c>
      <c r="E130" s="7">
        <f>ROUND(C130,D130)</f>
        <v/>
      </c>
      <c r="F130">
        <f>IF(full_precision,C130,E130)</f>
        <v/>
      </c>
      <c r="G130" s="7" t="n">
        <v>-49.5</v>
      </c>
      <c r="H130" s="8">
        <f>E130-G130</f>
        <v/>
      </c>
      <c r="I130" t="inlineStr">
        <is>
          <t>yes</t>
        </is>
      </c>
      <c r="J130" s="5" t="inlineStr">
        <is>
          <t>finance.initiative.ebit.amt.2030 + finance.initiative.depreciation.amt.2030 - finance.initiative.capex.amt.2030 - finance.initiative.wc_change.amt.2030</t>
        </is>
      </c>
    </row>
    <row r="131">
      <c r="A131" s="5" t="inlineStr">
        <is>
          <t>finance.initiative.wc_change.amt.2031</t>
        </is>
      </c>
      <c r="B131" t="inlineStr">
        <is>
          <t>USD M</t>
        </is>
      </c>
      <c r="C131">
        <f>finance.initiative.wc.amt.2031 - finance.initiative.wc.amt.2030</f>
        <v/>
      </c>
      <c r="D131" t="n">
        <v>1</v>
      </c>
      <c r="E131" s="7">
        <f>ROUND(C131,D131)</f>
        <v/>
      </c>
      <c r="F131">
        <f>IF(full_precision,C131,E131)</f>
        <v/>
      </c>
      <c r="G131" s="7" t="n">
        <v>8.800000000000001</v>
      </c>
      <c r="H131" s="8">
        <f>E131-G131</f>
        <v/>
      </c>
      <c r="I131" t="inlineStr">
        <is>
          <t>yes</t>
        </is>
      </c>
      <c r="J131" s="5" t="inlineStr">
        <is>
          <t>finance.initiative.wc.amt.2031 - finance.initiative.wc.amt.2030</t>
        </is>
      </c>
    </row>
    <row r="132">
      <c r="A132" s="5" t="inlineStr">
        <is>
          <t>finance.initiative.fcf.amt.2031</t>
        </is>
      </c>
      <c r="B132" t="inlineStr">
        <is>
          <t>USD M</t>
        </is>
      </c>
      <c r="C132">
        <f>finance.initiative.ebit.amt.2031 + finance.initiative.depreciation.amt.2031 - finance.initiative.capex.amt.2031 - finance.initiative.wc_change.amt.2031</f>
        <v/>
      </c>
      <c r="D132" t="n">
        <v>1</v>
      </c>
      <c r="E132" s="7">
        <f>ROUND(C132,D132)</f>
        <v/>
      </c>
      <c r="F132">
        <f>IF(full_precision,C132,E132)</f>
        <v/>
      </c>
      <c r="G132" s="7" t="n">
        <v>-33.6</v>
      </c>
      <c r="H132" s="8">
        <f>E132-G132</f>
        <v/>
      </c>
      <c r="I132" t="inlineStr">
        <is>
          <t>yes</t>
        </is>
      </c>
      <c r="J132" s="5" t="inlineStr">
        <is>
          <t>finance.initiative.ebit.amt.2031 + finance.initiative.depreciation.amt.2031 - finance.initiative.capex.amt.2031 - finance.initiative.wc_change.amt.2031</t>
        </is>
      </c>
    </row>
    <row r="133">
      <c r="A133" s="5" t="inlineStr">
        <is>
          <t>finance.initiative.wc_change.amt.2032</t>
        </is>
      </c>
      <c r="B133" t="inlineStr">
        <is>
          <t>USD M</t>
        </is>
      </c>
      <c r="C133">
        <f>finance.initiative.wc.amt.2032 - finance.initiative.wc.amt.2031</f>
        <v/>
      </c>
      <c r="D133" t="n">
        <v>1</v>
      </c>
      <c r="E133" s="7">
        <f>ROUND(C133,D133)</f>
        <v/>
      </c>
      <c r="F133">
        <f>IF(full_precision,C133,E133)</f>
        <v/>
      </c>
      <c r="G133" s="7" t="n">
        <v>9.1</v>
      </c>
      <c r="H133" s="8">
        <f>E133-G133</f>
        <v/>
      </c>
      <c r="I133" t="inlineStr">
        <is>
          <t>yes</t>
        </is>
      </c>
      <c r="J133" s="5" t="inlineStr">
        <is>
          <t>finance.initiative.wc.amt.2032 - finance.initiative.wc.amt.2031</t>
        </is>
      </c>
    </row>
    <row r="134">
      <c r="A134" s="5" t="inlineStr">
        <is>
          <t>finance.initiative.fcf.amt.2032</t>
        </is>
      </c>
      <c r="B134" t="inlineStr">
        <is>
          <t>USD M</t>
        </is>
      </c>
      <c r="C134">
        <f>finance.initiative.ebit.amt.2032 + finance.initiative.depreciation.amt.2032 - finance.initiative.capex.amt.2032 - finance.initiative.wc_change.amt.2032</f>
        <v/>
      </c>
      <c r="D134" t="n">
        <v>1</v>
      </c>
      <c r="E134" s="7">
        <f>ROUND(C134,D134)</f>
        <v/>
      </c>
      <c r="F134">
        <f>IF(full_precision,C134,E134)</f>
        <v/>
      </c>
      <c r="G134" s="7" t="n">
        <v>-18.5</v>
      </c>
      <c r="H134" s="8">
        <f>E134-G134</f>
        <v/>
      </c>
      <c r="I134" t="inlineStr">
        <is>
          <t>yes</t>
        </is>
      </c>
      <c r="J134" s="5" t="inlineStr">
        <is>
          <t>finance.initiative.ebit.amt.2032 + finance.initiative.depreciation.amt.2032 - finance.initiative.capex.amt.2032 - finance.initiative.wc_change.amt.2032</t>
        </is>
      </c>
    </row>
    <row r="135">
      <c r="A135" s="5" t="inlineStr">
        <is>
          <t>finance.initiative.cum_fcf.amt.2027</t>
        </is>
      </c>
      <c r="B135" t="inlineStr">
        <is>
          <t>USD M</t>
        </is>
      </c>
      <c r="C135" s="9" t="inlineStr"/>
      <c r="D135" t="n">
        <v>1</v>
      </c>
      <c r="E135" s="10" t="n">
        <v>-34.6</v>
      </c>
      <c r="F135">
        <f>E135</f>
        <v/>
      </c>
      <c r="G135" s="7" t="n">
        <v>-34.6</v>
      </c>
      <c r="H135" s="8">
        <f>E135-G135</f>
        <v/>
      </c>
      <c r="I135" s="9" t="inlineStr">
        <is>
          <t>no - the memo did not record its formula</t>
        </is>
      </c>
      <c r="J135" s="5" t="inlineStr">
        <is>
          <t>depends_on=finance.initiative.fcf.amt.2027</t>
        </is>
      </c>
    </row>
    <row r="136">
      <c r="A136" s="5" t="inlineStr">
        <is>
          <t>finance.initiative.cum_fcf.amt.2028</t>
        </is>
      </c>
      <c r="B136" t="inlineStr">
        <is>
          <t>USD M</t>
        </is>
      </c>
      <c r="C136">
        <f>finance.initiative.cum_fcf.amt.2027 + finance.initiative.fcf.amt.2028</f>
        <v/>
      </c>
      <c r="D136" t="n">
        <v>1</v>
      </c>
      <c r="E136" s="7">
        <f>ROUND(C136,D136)</f>
        <v/>
      </c>
      <c r="F136">
        <f>IF(full_precision,C136,E136)</f>
        <v/>
      </c>
      <c r="G136" s="7" t="n">
        <v>-66.8</v>
      </c>
      <c r="H136" s="8">
        <f>E136-G136</f>
        <v/>
      </c>
      <c r="I136" t="inlineStr">
        <is>
          <t>yes</t>
        </is>
      </c>
      <c r="J136" s="5" t="inlineStr">
        <is>
          <t>finance.initiative.cum_fcf.amt.2027 + finance.initiative.fcf.amt.2028</t>
        </is>
      </c>
    </row>
    <row r="137">
      <c r="A137" s="5" t="inlineStr">
        <is>
          <t>finance.initiative.cum_fcf.amt.2029</t>
        </is>
      </c>
      <c r="B137" t="inlineStr">
        <is>
          <t>USD M</t>
        </is>
      </c>
      <c r="C137">
        <f>finance.initiative.cum_fcf.amt.2028 + finance.initiative.fcf.amt.2029</f>
        <v/>
      </c>
      <c r="D137" t="n">
        <v>1</v>
      </c>
      <c r="E137" s="7">
        <f>ROUND(C137,D137)</f>
        <v/>
      </c>
      <c r="F137">
        <f>IF(full_precision,C137,E137)</f>
        <v/>
      </c>
      <c r="G137" s="7" t="n">
        <v>-119.5</v>
      </c>
      <c r="H137" s="8">
        <f>E137-G137</f>
        <v/>
      </c>
      <c r="I137" t="inlineStr">
        <is>
          <t>yes</t>
        </is>
      </c>
      <c r="J137" s="5" t="inlineStr">
        <is>
          <t>finance.initiative.cum_fcf.amt.2028 + finance.initiative.fcf.amt.2029</t>
        </is>
      </c>
    </row>
    <row r="138">
      <c r="A138" s="5" t="inlineStr">
        <is>
          <t>finance.initiative.cum_fcf.amt.2030</t>
        </is>
      </c>
      <c r="B138" t="inlineStr">
        <is>
          <t>USD M</t>
        </is>
      </c>
      <c r="C138">
        <f>finance.initiative.cum_fcf.amt.2029 + finance.initiative.fcf.amt.2030</f>
        <v/>
      </c>
      <c r="D138" t="n">
        <v>0</v>
      </c>
      <c r="E138" s="7">
        <f>ROUND(C138,D138)</f>
        <v/>
      </c>
      <c r="F138">
        <f>IF(full_precision,C138,E138)</f>
        <v/>
      </c>
      <c r="G138" s="7" t="n">
        <v>-169</v>
      </c>
      <c r="H138" s="8">
        <f>E138-G138</f>
        <v/>
      </c>
      <c r="I138" t="inlineStr">
        <is>
          <t>yes</t>
        </is>
      </c>
      <c r="J138" s="5" t="inlineStr">
        <is>
          <t>finance.initiative.cum_fcf.amt.2029 + finance.initiative.fcf.amt.2030</t>
        </is>
      </c>
    </row>
    <row r="139">
      <c r="A139" s="5" t="inlineStr">
        <is>
          <t>finance.initiative.cum_fcf.amt.2031</t>
        </is>
      </c>
      <c r="B139" t="inlineStr">
        <is>
          <t>USD M</t>
        </is>
      </c>
      <c r="C139">
        <f>finance.initiative.cum_fcf.amt.2030 + finance.initiative.fcf.amt.2031</f>
        <v/>
      </c>
      <c r="D139" t="n">
        <v>1</v>
      </c>
      <c r="E139" s="7">
        <f>ROUND(C139,D139)</f>
        <v/>
      </c>
      <c r="F139">
        <f>IF(full_precision,C139,E139)</f>
        <v/>
      </c>
      <c r="G139" s="7" t="n">
        <v>-202.6</v>
      </c>
      <c r="H139" s="8">
        <f>E139-G139</f>
        <v/>
      </c>
      <c r="I139" t="inlineStr">
        <is>
          <t>yes</t>
        </is>
      </c>
      <c r="J139" s="5" t="inlineStr">
        <is>
          <t>finance.initiative.cum_fcf.amt.2030 + finance.initiative.fcf.amt.2031</t>
        </is>
      </c>
    </row>
    <row r="140">
      <c r="A140" s="5" t="inlineStr">
        <is>
          <t>finance.initiative.cum_fcf.amt.2032</t>
        </is>
      </c>
      <c r="B140" t="inlineStr">
        <is>
          <t>USD M</t>
        </is>
      </c>
      <c r="C140">
        <f>finance.initiative.cum_fcf.amt.2031 + finance.initiative.fcf.amt.2032</f>
        <v/>
      </c>
      <c r="D140" t="n">
        <v>1</v>
      </c>
      <c r="E140" s="7">
        <f>ROUND(C140,D140)</f>
        <v/>
      </c>
      <c r="F140">
        <f>IF(full_precision,C140,E140)</f>
        <v/>
      </c>
      <c r="G140" s="7" t="n">
        <v>-221.1</v>
      </c>
      <c r="H140" s="8">
        <f>E140-G140</f>
        <v/>
      </c>
      <c r="I140" t="inlineStr">
        <is>
          <t>yes</t>
        </is>
      </c>
      <c r="J140" s="5" t="inlineStr">
        <is>
          <t>finance.initiative.cum_fcf.amt.2031 + finance.initiative.fcf.amt.2032</t>
        </is>
      </c>
    </row>
    <row r="141">
      <c r="A141" s="5" t="inlineStr">
        <is>
          <t>finance.initiative.payback_within_horizon.flag</t>
        </is>
      </c>
      <c r="B141" t="inlineStr">
        <is>
          <t>boolean</t>
        </is>
      </c>
      <c r="C141" s="9" t="inlineStr"/>
      <c r="D141" t="n">
        <v>0</v>
      </c>
      <c r="E141" s="10" t="n">
        <v>0</v>
      </c>
      <c r="F141">
        <f>E141</f>
        <v/>
      </c>
      <c r="G141" s="7" t="n">
        <v>0</v>
      </c>
      <c r="H141" s="8">
        <f>E141-G141</f>
        <v/>
      </c>
      <c r="I141" s="9" t="inlineStr">
        <is>
          <t>no - solved for, not evaluated</t>
        </is>
      </c>
      <c r="J141" s="5" t="inlineStr">
        <is>
          <t>depends_on=finance.initiative.cum_fcf.amt.2032</t>
        </is>
      </c>
    </row>
    <row r="142">
      <c r="A142" s="5" t="inlineStr">
        <is>
          <t>finance.initiative.peak_funding.amt</t>
        </is>
      </c>
      <c r="B142" t="inlineStr">
        <is>
          <t>USD M</t>
        </is>
      </c>
      <c r="C142" s="9" t="inlineStr"/>
      <c r="D142" t="n">
        <v>1</v>
      </c>
      <c r="E142" s="10" t="n">
        <v>-221.1</v>
      </c>
      <c r="F142">
        <f>E142</f>
        <v/>
      </c>
      <c r="G142" s="7" t="n">
        <v>-221.1</v>
      </c>
      <c r="H142" s="8">
        <f>E142-G142</f>
        <v/>
      </c>
      <c r="I142" s="9" t="inlineStr">
        <is>
          <t>no - the memo did not record its formula</t>
        </is>
      </c>
      <c r="J142" s="5" t="inlineStr">
        <is>
          <t>depends_on=finance.initiative.cum_fcf.amt.2032</t>
        </is>
      </c>
    </row>
    <row r="143">
      <c r="A143" s="5" t="inlineStr">
        <is>
          <t>finance.initiative.ebitda.amt.2032</t>
        </is>
      </c>
      <c r="B143" t="inlineStr">
        <is>
          <t>USD M</t>
        </is>
      </c>
      <c r="C143">
        <f>finance.initiative.ebit.amt.2032 + finance.initiative.depreciation.amt.2032</f>
        <v/>
      </c>
      <c r="D143" t="n">
        <v>1</v>
      </c>
      <c r="E143" s="7">
        <f>ROUND(C143,D143)</f>
        <v/>
      </c>
      <c r="F143">
        <f>IF(full_precision,C143,E143)</f>
        <v/>
      </c>
      <c r="G143" s="7" t="n">
        <v>15.6</v>
      </c>
      <c r="H143" s="8">
        <f>E143-G143</f>
        <v/>
      </c>
      <c r="I143" t="inlineStr">
        <is>
          <t>yes</t>
        </is>
      </c>
      <c r="J143" s="5" t="inlineStr">
        <is>
          <t>finance.initiative.ebit.amt.2032 + finance.initiative.depreciation.amt.2032</t>
        </is>
      </c>
    </row>
    <row r="144">
      <c r="A144" s="5" t="inlineStr">
        <is>
          <t>finance.initiative.terminal_value.amt</t>
        </is>
      </c>
      <c r="B144" t="inlineStr">
        <is>
          <t>USD M</t>
        </is>
      </c>
      <c r="C144">
        <f>finance.initiative.ebitda.amt.2032 * _finance.terminal_multiple.ratio</f>
        <v/>
      </c>
      <c r="D144" t="n">
        <v>1</v>
      </c>
      <c r="E144" s="7">
        <f>ROUND(C144,D144)</f>
        <v/>
      </c>
      <c r="F144">
        <f>IF(full_precision,C144,E144)</f>
        <v/>
      </c>
      <c r="G144" s="7" t="n">
        <v>128.7</v>
      </c>
      <c r="H144" s="8">
        <f>E144-G144</f>
        <v/>
      </c>
      <c r="I144" t="inlineStr">
        <is>
          <t>yes</t>
        </is>
      </c>
      <c r="J144" s="5" t="inlineStr">
        <is>
          <t>finance.initiative.ebitda.amt.2032 * _finance.terminal_multiple.ratio</t>
        </is>
      </c>
    </row>
    <row r="145">
      <c r="A145" s="5" t="inlineStr">
        <is>
          <t>finance.initiative.terminal_value.amt.low</t>
        </is>
      </c>
      <c r="B145" t="inlineStr">
        <is>
          <t>USD M</t>
        </is>
      </c>
      <c r="C145">
        <f>finance.initiative.ebitda.amt.2032 * _finance.terminal_multiple.ratio.low</f>
        <v/>
      </c>
      <c r="D145" t="n">
        <v>1</v>
      </c>
      <c r="E145" s="7">
        <f>ROUND(C145,D145)</f>
        <v/>
      </c>
      <c r="F145">
        <f>IF(full_precision,C145,E145)</f>
        <v/>
      </c>
      <c r="G145" s="7" t="n">
        <v>109.2</v>
      </c>
      <c r="H145" s="8">
        <f>E145-G145</f>
        <v/>
      </c>
      <c r="I145" t="inlineStr">
        <is>
          <t>yes</t>
        </is>
      </c>
      <c r="J145" s="5" t="inlineStr">
        <is>
          <t>finance.initiative.ebitda.amt.2032 * _finance.terminal_multiple.ratio.low</t>
        </is>
      </c>
    </row>
    <row r="146">
      <c r="A146" s="5" t="inlineStr">
        <is>
          <t>finance.initiative.terminal_value.amt.high</t>
        </is>
      </c>
      <c r="B146" t="inlineStr">
        <is>
          <t>USD M</t>
        </is>
      </c>
      <c r="C146">
        <f>finance.initiative.ebitda.amt.2032 * _finance.terminal_multiple.ratio.high</f>
        <v/>
      </c>
      <c r="D146" t="n">
        <v>1</v>
      </c>
      <c r="E146" s="7">
        <f>ROUND(C146,D146)</f>
        <v/>
      </c>
      <c r="F146">
        <f>IF(full_precision,C146,E146)</f>
        <v/>
      </c>
      <c r="G146" s="7" t="n">
        <v>148.2</v>
      </c>
      <c r="H146" s="8">
        <f>E146-G146</f>
        <v/>
      </c>
      <c r="I146" t="inlineStr">
        <is>
          <t>yes</t>
        </is>
      </c>
      <c r="J146" s="5" t="inlineStr">
        <is>
          <t>finance.initiative.ebitda.amt.2032 * _finance.terminal_multiple.ratio.high</t>
        </is>
      </c>
    </row>
    <row r="147">
      <c r="A147" s="5" t="inlineStr">
        <is>
          <t>finance.initiative.terminal_value.amt.industrial</t>
        </is>
      </c>
      <c r="B147" t="inlineStr">
        <is>
          <t>USD M</t>
        </is>
      </c>
      <c r="C147">
        <f>finance.initiative.ebitda.amt.2032 * _finance.terminal_multiple.ratio.industrial</f>
        <v/>
      </c>
      <c r="D147" t="n">
        <v>1</v>
      </c>
      <c r="E147" s="7">
        <f>ROUND(C147,D147)</f>
        <v/>
      </c>
      <c r="F147">
        <f>IF(full_precision,C147,E147)</f>
        <v/>
      </c>
      <c r="G147" s="7" t="n">
        <v>81.90000000000001</v>
      </c>
      <c r="H147" s="8">
        <f>E147-G147</f>
        <v/>
      </c>
      <c r="I147" t="inlineStr">
        <is>
          <t>yes</t>
        </is>
      </c>
      <c r="J147" s="5" t="inlineStr">
        <is>
          <t>finance.initiative.ebitda.amt.2032 * _finance.terminal_multiple.ratio.industrial</t>
        </is>
      </c>
    </row>
    <row r="148">
      <c r="A148" s="5" t="inlineStr">
        <is>
          <t>finance.initiative.irr.pct</t>
        </is>
      </c>
      <c r="B148" t="inlineStr">
        <is>
          <t>pct</t>
        </is>
      </c>
      <c r="C148" s="9" t="inlineStr"/>
      <c r="D148" t="n">
        <v>0</v>
      </c>
      <c r="E148" s="10" t="n">
        <v>-20</v>
      </c>
      <c r="F148">
        <f>E148</f>
        <v/>
      </c>
      <c r="G148" s="7" t="n">
        <v>-20</v>
      </c>
      <c r="H148" s="8">
        <f>E148-G148</f>
        <v/>
      </c>
      <c r="I148" s="9" t="inlineStr">
        <is>
          <t>no - solved for, not evaluated</t>
        </is>
      </c>
      <c r="J148" s="5" t="inlineStr">
        <is>
          <t>depends_on=finance.initiative.fcf.amt.2032, finance.initiative.terminal_value.amt</t>
        </is>
      </c>
    </row>
    <row r="149">
      <c r="A149" s="5" t="inlineStr">
        <is>
          <t>finance.initiative.irr_gap.pct</t>
        </is>
      </c>
      <c r="B149" t="inlineStr">
        <is>
          <t>pct points</t>
        </is>
      </c>
      <c r="C149">
        <f>finance.initiative.irr.pct - frame.target.irr.pct</f>
        <v/>
      </c>
      <c r="D149" t="n">
        <v>0</v>
      </c>
      <c r="E149" s="7">
        <f>ROUND(C149,D149)</f>
        <v/>
      </c>
      <c r="F149">
        <f>IF(full_precision,C149,E149)</f>
        <v/>
      </c>
      <c r="G149" s="7" t="n">
        <v>-40</v>
      </c>
      <c r="H149" s="8">
        <f>E149-G149</f>
        <v/>
      </c>
      <c r="I149" t="inlineStr">
        <is>
          <t>yes</t>
        </is>
      </c>
      <c r="J149" s="5" t="inlineStr">
        <is>
          <t>finance.initiative.irr.pct - frame.target.irr.pct</t>
        </is>
      </c>
    </row>
    <row r="150">
      <c r="A150" s="5" t="inlineStr">
        <is>
          <t>finance.initiative.irr.pct.low</t>
        </is>
      </c>
      <c r="B150" t="inlineStr">
        <is>
          <t>pct</t>
        </is>
      </c>
      <c r="C150" s="9" t="inlineStr"/>
      <c r="D150" t="n">
        <v>0</v>
      </c>
      <c r="E150" s="10" t="n">
        <v>-26</v>
      </c>
      <c r="F150">
        <f>E150</f>
        <v/>
      </c>
      <c r="G150" s="7" t="n">
        <v>-26</v>
      </c>
      <c r="H150" s="8">
        <f>E150-G150</f>
        <v/>
      </c>
      <c r="I150" s="9" t="inlineStr">
        <is>
          <t>no - solved for, not evaluated</t>
        </is>
      </c>
      <c r="J150" s="5" t="inlineStr">
        <is>
          <t>depends_on=finance.initiative.fcf.amt.2032, finance.initiative.terminal_value.amt.low</t>
        </is>
      </c>
    </row>
    <row r="151">
      <c r="A151" s="5" t="inlineStr">
        <is>
          <t>finance.initiative.irr.pct.high</t>
        </is>
      </c>
      <c r="B151" t="inlineStr">
        <is>
          <t>pct</t>
        </is>
      </c>
      <c r="C151" s="9" t="inlineStr"/>
      <c r="D151" t="n">
        <v>1</v>
      </c>
      <c r="E151" s="10" t="n">
        <v>-14.8</v>
      </c>
      <c r="F151">
        <f>E151</f>
        <v/>
      </c>
      <c r="G151" s="7" t="n">
        <v>-14.8</v>
      </c>
      <c r="H151" s="8">
        <f>E151-G151</f>
        <v/>
      </c>
      <c r="I151" s="9" t="inlineStr">
        <is>
          <t>no - solved for, not evaluated</t>
        </is>
      </c>
      <c r="J151" s="5" t="inlineStr">
        <is>
          <t>depends_on=finance.initiative.fcf.amt.2032, finance.initiative.terminal_value.amt.high</t>
        </is>
      </c>
    </row>
    <row r="152">
      <c r="A152" s="5" t="inlineStr">
        <is>
          <t>finance.initiative.irr.pct.industrial</t>
        </is>
      </c>
      <c r="B152" t="inlineStr">
        <is>
          <t>pct</t>
        </is>
      </c>
      <c r="C152" s="9" t="inlineStr"/>
      <c r="D152" t="n">
        <v>1</v>
      </c>
      <c r="E152" s="10" t="n">
        <v>-36.6</v>
      </c>
      <c r="F152">
        <f>E152</f>
        <v/>
      </c>
      <c r="G152" s="7" t="n">
        <v>-36.6</v>
      </c>
      <c r="H152" s="8">
        <f>E152-G152</f>
        <v/>
      </c>
      <c r="I152" s="9" t="inlineStr">
        <is>
          <t>no - solved for, not evaluated</t>
        </is>
      </c>
      <c r="J152" s="5" t="inlineStr">
        <is>
          <t>depends_on=finance.initiative.fcf.amt.2032, finance.initiative.terminal_value.amt.industrial</t>
        </is>
      </c>
    </row>
    <row r="153">
      <c r="A153" s="5" t="inlineStr">
        <is>
          <t>finance.initiative.npv.amt</t>
        </is>
      </c>
      <c r="B153" t="inlineStr">
        <is>
          <t>USD M</t>
        </is>
      </c>
      <c r="C153" s="9" t="inlineStr"/>
      <c r="D153" t="n">
        <v>1</v>
      </c>
      <c r="E153" s="10" t="n">
        <v>-99.09999999999999</v>
      </c>
      <c r="F153">
        <f>E153</f>
        <v/>
      </c>
      <c r="G153" s="7" t="n">
        <v>-99.09999999999999</v>
      </c>
      <c r="H153" s="8">
        <f>E153-G153</f>
        <v/>
      </c>
      <c r="I153" s="9" t="inlineStr">
        <is>
          <t>no - solved for, not evaluated</t>
        </is>
      </c>
      <c r="J153" s="5" t="inlineStr">
        <is>
          <t>depends_on=finance.initiative.fcf.amt.2027, finance.initiative.terminal_value.amt, _finance.discount_rate.pct</t>
        </is>
      </c>
    </row>
    <row r="154">
      <c r="A154" s="1" t="inlineStr">
        <is>
          <t>Scenarios</t>
        </is>
      </c>
      <c r="B154" s="2" t="n"/>
      <c r="C154" s="2" t="n"/>
      <c r="D154" s="2" t="n"/>
      <c r="E154" s="2" t="n"/>
      <c r="F154" s="2" t="n"/>
      <c r="G154" s="2" t="n"/>
      <c r="H154" s="2" t="n"/>
      <c r="I154" s="2" t="n"/>
      <c r="J154" s="2" t="n"/>
    </row>
    <row r="155">
      <c r="A155" s="5" t="inlineStr">
        <is>
          <t>finance.scenario.revenue.amt.2029.base</t>
        </is>
      </c>
      <c r="B155" t="inlineStr">
        <is>
          <t>USD M</t>
        </is>
      </c>
      <c r="C155" s="9" t="inlineStr"/>
      <c r="D155" t="n">
        <v>1</v>
      </c>
      <c r="E155" s="10" t="n">
        <v>34.1</v>
      </c>
      <c r="F155">
        <f>E155</f>
        <v/>
      </c>
      <c r="G155" s="7" t="n">
        <v>34.1</v>
      </c>
      <c r="H155" s="8">
        <f>E155-G155</f>
        <v/>
      </c>
      <c r="I155" s="9" t="inlineStr">
        <is>
          <t>no - the memo did not record its formula</t>
        </is>
      </c>
      <c r="J155" s="5" t="inlineStr">
        <is>
          <t>depends_on=finance.revenue.amt.2029</t>
        </is>
      </c>
    </row>
    <row r="156">
      <c r="A156" s="5" t="inlineStr">
        <is>
          <t>finance.scenario.revenue.amt.2032.base</t>
        </is>
      </c>
      <c r="B156" t="inlineStr">
        <is>
          <t>USD M</t>
        </is>
      </c>
      <c r="C156" s="9" t="inlineStr"/>
      <c r="D156" t="n">
        <v>1</v>
      </c>
      <c r="E156" s="10" t="n">
        <v>164.8</v>
      </c>
      <c r="F156">
        <f>E156</f>
        <v/>
      </c>
      <c r="G156" s="7" t="n">
        <v>164.8</v>
      </c>
      <c r="H156" s="8">
        <f>E156-G156</f>
        <v/>
      </c>
      <c r="I156" s="9" t="inlineStr">
        <is>
          <t>no - the memo did not record its formula</t>
        </is>
      </c>
      <c r="J156" s="5" t="inlineStr">
        <is>
          <t>depends_on=finance.revenue.amt.2032</t>
        </is>
      </c>
    </row>
    <row r="157">
      <c r="A157" s="5" t="inlineStr">
        <is>
          <t>finance.scenario.op_margin.pct.base</t>
        </is>
      </c>
      <c r="B157" t="inlineStr">
        <is>
          <t>pct</t>
        </is>
      </c>
      <c r="C157" s="9" t="inlineStr"/>
      <c r="D157" t="n">
        <v>1</v>
      </c>
      <c r="E157" s="10" t="n">
        <v>-1.7</v>
      </c>
      <c r="F157">
        <f>E157</f>
        <v/>
      </c>
      <c r="G157" s="7" t="n">
        <v>-1.7</v>
      </c>
      <c r="H157" s="8">
        <f>E157-G157</f>
        <v/>
      </c>
      <c r="I157" s="9" t="inlineStr">
        <is>
          <t>no - the memo did not record its formula</t>
        </is>
      </c>
      <c r="J157" s="5" t="inlineStr">
        <is>
          <t>depends_on=finance.initiative.op_margin.pct</t>
        </is>
      </c>
    </row>
    <row r="158">
      <c r="A158" s="5" t="inlineStr">
        <is>
          <t>finance.scenario.revenue_attainment.pct.2029.high</t>
        </is>
      </c>
      <c r="B158" t="inlineStr">
        <is>
          <t>pct</t>
        </is>
      </c>
      <c r="C158">
        <f>finance.scenario.revenue.amt.2029.high / frame.target.revenue.amt.2029 * 100</f>
        <v/>
      </c>
      <c r="D158" t="n">
        <v>1</v>
      </c>
      <c r="E158" s="7">
        <f>ROUND(C158,D158)</f>
        <v/>
      </c>
      <c r="F158">
        <f>IF(full_precision,C158,E158)</f>
        <v/>
      </c>
      <c r="G158" s="7" t="n">
        <v>17.7</v>
      </c>
      <c r="H158" s="8">
        <f>E158-G158</f>
        <v/>
      </c>
      <c r="I158" t="inlineStr">
        <is>
          <t>yes</t>
        </is>
      </c>
      <c r="J158" s="5" t="inlineStr">
        <is>
          <t>finance.scenario.revenue.amt.2029.high / frame.target.revenue.amt.2029 * 100</t>
        </is>
      </c>
    </row>
    <row r="159">
      <c r="A159" s="5" t="inlineStr">
        <is>
          <t>finance.scenario.op_margin_gap.pct.high</t>
        </is>
      </c>
      <c r="B159" t="inlineStr">
        <is>
          <t>pct points</t>
        </is>
      </c>
      <c r="C159">
        <f>frame.target.op_margin.pct - finance.scenario.op_margin.pct.high</f>
        <v/>
      </c>
      <c r="D159" t="n">
        <v>0</v>
      </c>
      <c r="E159" s="7">
        <f>ROUND(C159,D159)</f>
        <v/>
      </c>
      <c r="F159">
        <f>IF(full_precision,C159,E159)</f>
        <v/>
      </c>
      <c r="G159" s="7" t="n">
        <v>25</v>
      </c>
      <c r="H159" s="8">
        <f>E159-G159</f>
        <v/>
      </c>
      <c r="I159" t="inlineStr">
        <is>
          <t>yes</t>
        </is>
      </c>
      <c r="J159" s="5" t="inlineStr">
        <is>
          <t>frame.target.op_margin.pct - finance.scenario.op_margin.pct.high</t>
        </is>
      </c>
    </row>
    <row r="160">
      <c r="A160" s="1" t="inlineStr">
        <is>
          <t>Acquisition</t>
        </is>
      </c>
      <c r="B160" s="2" t="n"/>
      <c r="C160" s="2" t="n"/>
      <c r="D160" s="2" t="n"/>
      <c r="E160" s="2" t="n"/>
      <c r="F160" s="2" t="n"/>
      <c r="G160" s="2" t="n"/>
      <c r="H160" s="2" t="n"/>
      <c r="I160" s="2" t="n"/>
      <c r="J160" s="2" t="n"/>
    </row>
    <row r="161">
      <c r="A161" s="5" t="inlineStr">
        <is>
          <t>mna.reference_target.revenue.amt</t>
        </is>
      </c>
      <c r="B161" t="inlineStr">
        <is>
          <t>USD M</t>
        </is>
      </c>
      <c r="C161">
        <f>frame.mna.reference.amt / _mna.revenue_multiple.ratio</f>
        <v/>
      </c>
      <c r="D161" t="n">
        <v>1</v>
      </c>
      <c r="E161" s="7">
        <f>ROUND(C161,D161)</f>
        <v/>
      </c>
      <c r="F161">
        <f>IF(full_precision,C161,E161)</f>
        <v/>
      </c>
      <c r="G161" s="7" t="n">
        <v>20.6</v>
      </c>
      <c r="H161" s="8">
        <f>E161-G161</f>
        <v/>
      </c>
      <c r="I161" t="inlineStr">
        <is>
          <t>yes</t>
        </is>
      </c>
      <c r="J161" s="5" t="inlineStr">
        <is>
          <t>frame.mna.reference.amt / _mna.revenue_multiple.ratio</t>
        </is>
      </c>
    </row>
    <row r="162">
      <c r="A162" s="5" t="inlineStr">
        <is>
          <t>mna.reference_vs_precision.ratio</t>
        </is>
      </c>
      <c r="B162" t="inlineStr">
        <is>
          <t>ratio</t>
        </is>
      </c>
      <c r="C162">
        <f>frame.mna.reference.amt / mna.precision_series_c.amt</f>
        <v/>
      </c>
      <c r="D162" t="n">
        <v>2</v>
      </c>
      <c r="E162" s="7">
        <f>ROUND(C162,D162)</f>
        <v/>
      </c>
      <c r="F162">
        <f>IF(full_precision,C162,E162)</f>
        <v/>
      </c>
      <c r="G162" s="7" t="n">
        <v>0.34</v>
      </c>
      <c r="H162" s="8">
        <f>E162-G162</f>
        <v/>
      </c>
      <c r="I162" t="inlineStr">
        <is>
          <t>yes</t>
        </is>
      </c>
      <c r="J162" s="5" t="inlineStr">
        <is>
          <t>frame.mna.reference.amt / mna.precision_series_c.amt</t>
        </is>
      </c>
    </row>
    <row r="163">
      <c r="A163" s="1" t="inlineStr">
        <is>
          <t>Other</t>
        </is>
      </c>
      <c r="B163" s="2" t="n"/>
      <c r="C163" s="2" t="n"/>
      <c r="D163" s="2" t="n"/>
      <c r="E163" s="2" t="n"/>
      <c r="F163" s="2" t="n"/>
      <c r="G163" s="2" t="n"/>
      <c r="H163" s="2" t="n"/>
      <c r="I163" s="2" t="n"/>
      <c r="J163" s="2" t="n"/>
    </row>
    <row r="164">
      <c r="A164" s="5" t="inlineStr">
        <is>
          <t>market.defib_pad.unit.cnt.2025</t>
        </is>
      </c>
      <c r="B164" t="inlineStr">
        <is>
          <t>M units</t>
        </is>
      </c>
      <c r="C164">
        <f>market.defib_pad.revenue.amt.2025 / _market.defib_pad.selling_price.amt</f>
        <v/>
      </c>
      <c r="D164" t="n">
        <v>0</v>
      </c>
      <c r="E164" s="7">
        <f>ROUND(C164,D164)</f>
        <v/>
      </c>
      <c r="F164">
        <f>IF(full_precision,C164,E164)</f>
        <v/>
      </c>
      <c r="G164" s="7" t="n">
        <v>36</v>
      </c>
      <c r="H164" s="8">
        <f>E164-G164</f>
        <v/>
      </c>
      <c r="I164" t="inlineStr">
        <is>
          <t>yes</t>
        </is>
      </c>
      <c r="J164" s="5" t="inlineStr">
        <is>
          <t>market.defib_pad.revenue.amt.2025 / _market.defib_pad.selling_price.amt</t>
        </is>
      </c>
    </row>
    <row r="165">
      <c r="A165" s="5" t="inlineStr">
        <is>
          <t>market.defib_pad.reachable_pool.amt.2025</t>
        </is>
      </c>
      <c r="B165" t="inlineStr">
        <is>
          <t>USD M</t>
        </is>
      </c>
      <c r="C165">
        <f>market.defib_pad.unit.cnt.2025 * market.defib_pad.merchant.pct / 100 * _strategy.line_a.price.defib.amt</f>
        <v/>
      </c>
      <c r="D165" t="n">
        <v>0</v>
      </c>
      <c r="E165" s="7">
        <f>ROUND(C165,D165)</f>
        <v/>
      </c>
      <c r="F165">
        <f>IF(full_precision,C165,E165)</f>
        <v/>
      </c>
      <c r="G165" s="7" t="n">
        <v>18</v>
      </c>
      <c r="H165" s="8">
        <f>E165-G165</f>
        <v/>
      </c>
      <c r="I165" t="inlineStr">
        <is>
          <t>yes</t>
        </is>
      </c>
      <c r="J165" s="5" t="inlineStr">
        <is>
          <t>market.defib_pad.unit.cnt.2025 * market.defib_pad.merchant.pct / 100 * _strategy.line_a.price.defib.amt</t>
        </is>
      </c>
    </row>
    <row r="166">
      <c r="A166" s="5" t="inlineStr">
        <is>
          <t>market.ostomy.unit.cnt.2032</t>
        </is>
      </c>
      <c r="B166" t="inlineStr">
        <is>
          <t>M units</t>
        </is>
      </c>
      <c r="C166">
        <f>_market.ostomy.user.cnt * _market.ostomy.adoption.pct / 100 * _market.ostomy.replacement.rate</f>
        <v/>
      </c>
      <c r="D166" t="n">
        <v>0</v>
      </c>
      <c r="E166" s="7">
        <f>ROUND(C166,D166)</f>
        <v/>
      </c>
      <c r="F166">
        <f>IF(full_precision,C166,E166)</f>
        <v/>
      </c>
      <c r="G166" s="7" t="n">
        <v>72</v>
      </c>
      <c r="H166" s="8">
        <f>E166-G166</f>
        <v/>
      </c>
      <c r="I166" t="inlineStr">
        <is>
          <t>yes</t>
        </is>
      </c>
      <c r="J166" s="5" t="inlineStr">
        <is>
          <t>_market.ostomy.user.cnt * _market.ostomy.adoption.pct / 100 * _market.ostomy.replacement.rate</t>
        </is>
      </c>
    </row>
    <row r="167">
      <c r="A167" s="5" t="inlineStr">
        <is>
          <t>market.ostomy.pool.amt.2032</t>
        </is>
      </c>
      <c r="B167" t="inlineStr">
        <is>
          <t>USD M</t>
        </is>
      </c>
      <c r="C167">
        <f>market.ostomy.unit.cnt.2032 * _strategy.line_a.price.ostomy.amt</f>
        <v/>
      </c>
      <c r="D167" t="n">
        <v>1</v>
      </c>
      <c r="E167" s="7">
        <f>ROUND(C167,D167)</f>
        <v/>
      </c>
      <c r="F167">
        <f>IF(full_precision,C167,E167)</f>
        <v/>
      </c>
      <c r="G167" s="7" t="n">
        <v>86.40000000000001</v>
      </c>
      <c r="H167" s="8">
        <f>E167-G167</f>
        <v/>
      </c>
      <c r="I167" t="inlineStr">
        <is>
          <t>yes</t>
        </is>
      </c>
      <c r="J167" s="5" t="inlineStr">
        <is>
          <t>market.ostomy.unit.cnt.2032 * _strategy.line_a.price.ostomy.amt</t>
        </is>
      </c>
    </row>
    <row r="168">
      <c r="A168" s="5" t="inlineStr">
        <is>
          <t>market.ostomy.reachable_pool.amt.2032</t>
        </is>
      </c>
      <c r="B168" t="inlineStr">
        <is>
          <t>USD M</t>
        </is>
      </c>
      <c r="C168">
        <f>market.ostomy.pool.amt.2032 * market.ostomy.merchant.pct / 100</f>
        <v/>
      </c>
      <c r="D168" t="n">
        <v>1</v>
      </c>
      <c r="E168" s="7">
        <f>ROUND(C168,D168)</f>
        <v/>
      </c>
      <c r="F168">
        <f>IF(full_precision,C168,E168)</f>
        <v/>
      </c>
      <c r="G168" s="7" t="n">
        <v>51.8</v>
      </c>
      <c r="H168" s="8">
        <f>E168-G168</f>
        <v/>
      </c>
      <c r="I168" t="inlineStr">
        <is>
          <t>yes</t>
        </is>
      </c>
      <c r="J168" s="5" t="inlineStr">
        <is>
          <t>market.ostomy.pool.amt.2032 * market.ostomy.merchant.pct / 100</t>
        </is>
      </c>
    </row>
    <row r="169">
      <c r="A169" s="5" t="inlineStr">
        <is>
          <t>market.defib_pad.reachable_pool.amt.2029</t>
        </is>
      </c>
      <c r="B169" t="inlineStr">
        <is>
          <t>USD M</t>
        </is>
      </c>
      <c r="C169">
        <f>market.defib_pad.reachable_pool.amt.2025 * _market.growth.return_4yr.ratio</f>
        <v/>
      </c>
      <c r="D169" t="n">
        <v>2</v>
      </c>
      <c r="E169" s="7">
        <f>ROUND(C169,D169)</f>
        <v/>
      </c>
      <c r="F169">
        <f>IF(full_precision,C169,E169)</f>
        <v/>
      </c>
      <c r="G169" s="7" t="n">
        <v>23.22</v>
      </c>
      <c r="H169" s="8">
        <f>E169-G169</f>
        <v/>
      </c>
      <c r="I169" t="inlineStr">
        <is>
          <t>yes</t>
        </is>
      </c>
      <c r="J169" s="5" t="inlineStr">
        <is>
          <t>market.defib_pad.reachable_pool.amt.2025 * _market.growth.return_4yr.ratio</t>
        </is>
      </c>
    </row>
    <row r="170">
      <c r="A170" s="5" t="inlineStr">
        <is>
          <t>ops.lane_fast.dur</t>
        </is>
      </c>
      <c r="B170" t="inlineStr">
        <is>
          <t>years</t>
        </is>
      </c>
      <c r="C170">
        <f>(ops.regulatory.recert.dur + ops.qualification.dur) / 12</f>
        <v/>
      </c>
      <c r="D170" t="n">
        <v>2</v>
      </c>
      <c r="E170" s="7">
        <f>ROUND(C170,D170)</f>
        <v/>
      </c>
      <c r="F170">
        <f>IF(full_precision,C170,E170)</f>
        <v/>
      </c>
      <c r="G170" s="7" t="n">
        <v>1.75</v>
      </c>
      <c r="H170" s="8">
        <f>E170-G170</f>
        <v/>
      </c>
      <c r="I170" t="inlineStr">
        <is>
          <t>yes</t>
        </is>
      </c>
      <c r="J170" s="5" t="inlineStr">
        <is>
          <t>(ops.regulatory.recert.dur + ops.qualification.dur) / 12</t>
        </is>
      </c>
    </row>
    <row r="171">
      <c r="A171" s="5" t="inlineStr">
        <is>
          <t>ops.lane_module.dur</t>
        </is>
      </c>
      <c r="B171" t="inlineStr">
        <is>
          <t>years</t>
        </is>
      </c>
      <c r="C171">
        <f>(ops.regulatory.recert.dur + ops.qualification.dur + ops.design_in.dur) / 12</f>
        <v/>
      </c>
      <c r="D171" t="n">
        <v>0</v>
      </c>
      <c r="E171" s="7">
        <f>ROUND(C171,D171)</f>
        <v/>
      </c>
      <c r="F171">
        <f>IF(full_precision,C171,E171)</f>
        <v/>
      </c>
      <c r="G171" s="7" t="n">
        <v>3</v>
      </c>
      <c r="H171" s="8">
        <f>E171-G171</f>
        <v/>
      </c>
      <c r="I171" t="inlineStr">
        <is>
          <t>yes</t>
        </is>
      </c>
      <c r="J171" s="5" t="inlineStr">
        <is>
          <t>(ops.regulatory.recert.dur + ops.qualification.dur + ops.design_in.dur) / 12</t>
        </is>
      </c>
    </row>
    <row r="172">
      <c r="A172" s="5" t="inlineStr">
        <is>
          <t>ops.lane_implant.dur</t>
        </is>
      </c>
      <c r="B172" t="inlineStr">
        <is>
          <t>years</t>
        </is>
      </c>
      <c r="C172">
        <f>(ops.regulatory.recert.dur + ops.qualification.dur + ops.design_in.dur + ops.implant_clearance.dur) / 12</f>
        <v/>
      </c>
      <c r="D172" t="n">
        <v>0</v>
      </c>
      <c r="E172" s="7">
        <f>ROUND(C172,D172)</f>
        <v/>
      </c>
      <c r="F172">
        <f>IF(full_precision,C172,E172)</f>
        <v/>
      </c>
      <c r="G172" s="7" t="n">
        <v>5</v>
      </c>
      <c r="H172" s="8">
        <f>E172-G172</f>
        <v/>
      </c>
      <c r="I172" t="inlineStr">
        <is>
          <t>yes</t>
        </is>
      </c>
      <c r="J172" s="5" t="inlineStr">
        <is>
          <t>(ops.regulatory.recert.dur + ops.qualification.dur + ops.design_in.dur + ops.implant_clearance.dur) / 12</t>
        </is>
      </c>
    </row>
    <row r="173">
      <c r="A173" s="5" t="inlineStr">
        <is>
          <t>ops.lane_fast.first_revenue.cnt</t>
        </is>
      </c>
      <c r="B173" t="inlineStr">
        <is>
          <t>year</t>
        </is>
      </c>
      <c r="C173">
        <f>frame.entry.year.cnt + 1</f>
        <v/>
      </c>
      <c r="D173" t="n">
        <v>0</v>
      </c>
      <c r="E173" s="7">
        <f>ROUND(C173,D173)</f>
        <v/>
      </c>
      <c r="F173">
        <f>IF(full_precision,C173,E173)</f>
        <v/>
      </c>
      <c r="G173" s="7" t="n">
        <v>2028</v>
      </c>
      <c r="H173" s="8">
        <f>E173-G173</f>
        <v/>
      </c>
      <c r="I173" t="inlineStr">
        <is>
          <t>yes</t>
        </is>
      </c>
      <c r="J173" s="5" t="inlineStr">
        <is>
          <t>frame.entry.year.cnt + 1</t>
        </is>
      </c>
    </row>
    <row r="174">
      <c r="A174" s="5" t="inlineStr">
        <is>
          <t>ops.lane_module.first_revenue.cnt</t>
        </is>
      </c>
      <c r="B174" t="inlineStr">
        <is>
          <t>year</t>
        </is>
      </c>
      <c r="C174">
        <f>frame.entry.year.cnt + 3</f>
        <v/>
      </c>
      <c r="D174" t="n">
        <v>0</v>
      </c>
      <c r="E174" s="7">
        <f>ROUND(C174,D174)</f>
        <v/>
      </c>
      <c r="F174">
        <f>IF(full_precision,C174,E174)</f>
        <v/>
      </c>
      <c r="G174" s="7" t="n">
        <v>2030</v>
      </c>
      <c r="H174" s="8">
        <f>E174-G174</f>
        <v/>
      </c>
      <c r="I174" t="inlineStr">
        <is>
          <t>yes</t>
        </is>
      </c>
      <c r="J174" s="5" t="inlineStr">
        <is>
          <t>frame.entry.year.cnt + 3</t>
        </is>
      </c>
    </row>
    <row r="175">
      <c r="A175" s="5" t="inlineStr">
        <is>
          <t>ops.lane_implant.first_revenue.cnt</t>
        </is>
      </c>
      <c r="B175" t="inlineStr">
        <is>
          <t>year</t>
        </is>
      </c>
      <c r="C175">
        <f>frame.entry.year.cnt + 5</f>
        <v/>
      </c>
      <c r="D175" t="n">
        <v>0</v>
      </c>
      <c r="E175" s="7">
        <f>ROUND(C175,D175)</f>
        <v/>
      </c>
      <c r="F175">
        <f>IF(full_precision,C175,E175)</f>
        <v/>
      </c>
      <c r="G175" s="7" t="n">
        <v>2032</v>
      </c>
      <c r="H175" s="8">
        <f>E175-G175</f>
        <v/>
      </c>
      <c r="I175" t="inlineStr">
        <is>
          <t>yes</t>
        </is>
      </c>
      <c r="J175" s="5" t="inlineStr">
        <is>
          <t>frame.entry.year.cnt + 5</t>
        </is>
      </c>
    </row>
    <row r="176">
      <c r="A176" s="5" t="inlineStr">
        <is>
          <t>ops.r2r.capacity.cnt.per_line</t>
        </is>
      </c>
      <c r="B176" t="inlineStr">
        <is>
          <t>M units/yr</t>
        </is>
      </c>
      <c r="C176">
        <f>_ops.r2r.line_speed.rate * _ops.r2r.uptime.rate * _ops.r2r.units_per_m.cnt / 1000000</f>
        <v/>
      </c>
      <c r="D176" t="n">
        <v>1</v>
      </c>
      <c r="E176" s="7">
        <f>ROUND(C176,D176)</f>
        <v/>
      </c>
      <c r="F176">
        <f>IF(full_precision,C176,E176)</f>
        <v/>
      </c>
      <c r="G176" s="7" t="n">
        <v>86.40000000000001</v>
      </c>
      <c r="H176" s="8">
        <f>E176-G176</f>
        <v/>
      </c>
      <c r="I176" t="inlineStr">
        <is>
          <t>yes</t>
        </is>
      </c>
      <c r="J176" s="5" t="inlineStr">
        <is>
          <t>_ops.r2r.line_speed.rate * _ops.r2r.uptime.rate * _ops.r2r.units_per_m.cnt / 1000000</t>
        </is>
      </c>
    </row>
    <row r="177">
      <c r="A177" s="5" t="inlineStr">
        <is>
          <t>ops.r2r.lines_required.cnt.2032</t>
        </is>
      </c>
      <c r="B177" t="inlineStr">
        <is>
          <t>lines</t>
        </is>
      </c>
      <c r="C177">
        <f>strategy.line_a.unit.cnt.2032 / ops.r2r.capacity.cnt.per_line</f>
        <v/>
      </c>
      <c r="D177" t="n">
        <v>1</v>
      </c>
      <c r="E177" s="7">
        <f>ROUND(C177,D177)</f>
        <v/>
      </c>
      <c r="F177">
        <f>IF(full_precision,C177,E177)</f>
        <v/>
      </c>
      <c r="G177" s="7" t="n">
        <v>10.3</v>
      </c>
      <c r="H177" s="8">
        <f>E177-G177</f>
        <v/>
      </c>
      <c r="I177" t="inlineStr">
        <is>
          <t>yes</t>
        </is>
      </c>
      <c r="J177" s="5" t="inlineStr">
        <is>
          <t>strategy.line_a.unit.cnt.2032 / ops.r2r.capacity.cnt.per_line</t>
        </is>
      </c>
    </row>
    <row r="178">
      <c r="A178" s="5" t="inlineStr">
        <is>
          <t>market.line_c.reachable_pool.amt.2029</t>
        </is>
      </c>
      <c r="B178" t="inlineStr">
        <is>
          <t>USD M</t>
        </is>
      </c>
      <c r="C178">
        <f>market.ep.reachable_pool.amt.2029 + market.neuro.reachable_pool.amt.2029</f>
        <v/>
      </c>
      <c r="D178" t="n">
        <v>1</v>
      </c>
      <c r="E178" s="7">
        <f>ROUND(C178,D178)</f>
        <v/>
      </c>
      <c r="F178">
        <f>IF(full_precision,C178,E178)</f>
        <v/>
      </c>
      <c r="G178" s="7" t="n">
        <v>61.9</v>
      </c>
      <c r="H178" s="8">
        <f>E178-G178</f>
        <v/>
      </c>
      <c r="I178" t="inlineStr">
        <is>
          <t>yes</t>
        </is>
      </c>
      <c r="J178" s="5" t="inlineStr">
        <is>
          <t>market.ep.reachable_pool.amt.2029 + market.neuro.reachable_pool.amt.2029</t>
        </is>
      </c>
    </row>
    <row r="179">
      <c r="A179" s="5" t="inlineStr">
        <is>
          <t>finance.line_b.gross_margin.pct</t>
        </is>
      </c>
      <c r="B179" t="inlineStr">
        <is>
          <t>pct</t>
        </is>
      </c>
      <c r="C179">
        <f>100 - finance.unit.cogs.pct</f>
        <v/>
      </c>
      <c r="D179" t="n">
        <v>0</v>
      </c>
      <c r="E179" s="7">
        <f>ROUND(C179,D179)</f>
        <v/>
      </c>
      <c r="F179">
        <f>IF(full_precision,C179,E179)</f>
        <v/>
      </c>
      <c r="G179" s="7" t="n">
        <v>28</v>
      </c>
      <c r="H179" s="8">
        <f>E179-G179</f>
        <v/>
      </c>
      <c r="I179" t="inlineStr">
        <is>
          <t>yes</t>
        </is>
      </c>
      <c r="J179" s="5" t="inlineStr">
        <is>
          <t>100 - finance.unit.cogs.pct</t>
        </is>
      </c>
    </row>
    <row r="180">
      <c r="A180" s="5" t="inlineStr">
        <is>
          <t>ops.r2r.lines_required.cnt.2032.high</t>
        </is>
      </c>
      <c r="B180" t="inlineStr">
        <is>
          <t>lines</t>
        </is>
      </c>
      <c r="C180">
        <f>ops.r2r.lines_required.cnt.2032 * finance.scenario.revenue.amt.2032.high / finance.revenue.amt.2032</f>
        <v/>
      </c>
      <c r="D180" t="n">
        <v>1</v>
      </c>
      <c r="E180" s="7">
        <f>ROUND(C180,D180)</f>
        <v/>
      </c>
      <c r="F180">
        <f>IF(full_precision,C180,E180)</f>
        <v/>
      </c>
      <c r="G180" s="7" t="n">
        <v>15.6</v>
      </c>
      <c r="H180" s="8">
        <f>E180-G180</f>
        <v/>
      </c>
      <c r="I180" t="inlineStr">
        <is>
          <t>yes</t>
        </is>
      </c>
      <c r="J180" s="5" t="inlineStr">
        <is>
          <t>ops.r2r.lines_required.cnt.2032 * finance.scenario.revenue.amt.2032.high / finance.revenue.amt.2032</t>
        </is>
      </c>
    </row>
    <row r="181">
      <c r="A181" s="5" t="inlineStr">
        <is>
          <t>sens.funding.amt.capex_up_25</t>
        </is>
      </c>
      <c r="B181" t="inlineStr">
        <is>
          <t>USD M</t>
        </is>
      </c>
      <c r="C181">
        <f>finance.initiative.cum_fcf.amt.2032 - finance.initiative.capex_total.amt * 0.25</f>
        <v/>
      </c>
      <c r="D181" t="n">
        <v>1</v>
      </c>
      <c r="E181" s="7">
        <f>ROUND(C181,D181)</f>
        <v/>
      </c>
      <c r="F181">
        <f>IF(full_precision,C181,E181)</f>
        <v/>
      </c>
      <c r="G181" s="7" t="n">
        <v>-261.1</v>
      </c>
      <c r="H181" s="8">
        <f>E181-G181</f>
        <v/>
      </c>
      <c r="I181" t="inlineStr">
        <is>
          <t>yes</t>
        </is>
      </c>
      <c r="J181" s="5" t="inlineStr">
        <is>
          <t>finance.initiative.cum_fcf.amt.2032 - finance.initiative.capex_total.amt * 0.25</t>
        </is>
      </c>
    </row>
    <row r="182">
      <c r="A182" s="5" t="inlineStr">
        <is>
          <t>sens.funding.amt.working_capital_up_5pts</t>
        </is>
      </c>
      <c r="B182" t="inlineStr">
        <is>
          <t>USD M</t>
        </is>
      </c>
      <c r="C182">
        <f>finance.initiative.cum_fcf.amt.2032 - finance.revenue.amt.2032 * 5 / 100</f>
        <v/>
      </c>
      <c r="D182" t="n">
        <v>1</v>
      </c>
      <c r="E182" s="7">
        <f>ROUND(C182,D182)</f>
        <v/>
      </c>
      <c r="F182">
        <f>IF(full_precision,C182,E182)</f>
        <v/>
      </c>
      <c r="G182" s="7" t="n">
        <v>-229.3</v>
      </c>
      <c r="H182" s="8">
        <f>E182-G182</f>
        <v/>
      </c>
      <c r="I182" t="inlineStr">
        <is>
          <t>yes</t>
        </is>
      </c>
      <c r="J182" s="5" t="inlineStr">
        <is>
          <t>finance.initiative.cum_fcf.amt.2032 - finance.revenue.amt.2032 * 5 / 100</t>
        </is>
      </c>
    </row>
    <row r="183">
      <c r="A183" s="5" t="inlineStr">
        <is>
          <t>sens.npv.amt.discount_8</t>
        </is>
      </c>
      <c r="B183" t="inlineStr">
        <is>
          <t>USD M</t>
        </is>
      </c>
      <c r="C183" s="9" t="inlineStr"/>
      <c r="D183" t="n">
        <v>1</v>
      </c>
      <c r="E183" s="10" t="n">
        <v>-98.59999999999999</v>
      </c>
      <c r="F183">
        <f>E183</f>
        <v/>
      </c>
      <c r="G183" s="7" t="n">
        <v>-98.59999999999999</v>
      </c>
      <c r="H183" s="8">
        <f>E183-G183</f>
        <v/>
      </c>
      <c r="I183" s="9" t="inlineStr">
        <is>
          <t>no - solved for, not evaluated</t>
        </is>
      </c>
      <c r="J183" s="5" t="inlineStr">
        <is>
          <t>depends_on=finance.initiative.npv.amt, _finance.discount_rate.pct</t>
        </is>
      </c>
    </row>
    <row r="184">
      <c r="A184" s="5" t="inlineStr">
        <is>
          <t>sens.npv.amt.discount_12</t>
        </is>
      </c>
      <c r="B184" t="inlineStr">
        <is>
          <t>USD M</t>
        </is>
      </c>
      <c r="C184" s="9" t="inlineStr"/>
      <c r="D184" t="n">
        <v>1</v>
      </c>
      <c r="E184" s="10" t="n">
        <v>-99.40000000000001</v>
      </c>
      <c r="F184">
        <f>E184</f>
        <v/>
      </c>
      <c r="G184" s="7" t="n">
        <v>-99.40000000000001</v>
      </c>
      <c r="H184" s="8">
        <f>E184-G184</f>
        <v/>
      </c>
      <c r="I184" s="9" t="inlineStr">
        <is>
          <t>no - solved for, not evaluated</t>
        </is>
      </c>
      <c r="J184" s="5" t="inlineStr">
        <is>
          <t>depends_on=finance.initiative.npv.amt, _finance.discount_rate.pct</t>
        </is>
      </c>
    </row>
    <row r="185">
      <c r="A185" s="5" t="inlineStr">
        <is>
          <t>sens.npv.amt.industrial_multiple</t>
        </is>
      </c>
      <c r="B185" t="inlineStr">
        <is>
          <t>USD M</t>
        </is>
      </c>
      <c r="C185" s="9" t="inlineStr"/>
      <c r="D185" t="n">
        <v>1</v>
      </c>
      <c r="E185" s="10" t="n">
        <v>-128.2</v>
      </c>
      <c r="F185">
        <f>E185</f>
        <v/>
      </c>
      <c r="G185" s="7" t="n">
        <v>-128.2</v>
      </c>
      <c r="H185" s="8">
        <f>E185-G185</f>
        <v/>
      </c>
      <c r="I185" s="9" t="inlineStr">
        <is>
          <t>no - solved for, not evaluated</t>
        </is>
      </c>
      <c r="J185" s="5" t="inlineStr">
        <is>
          <t>depends_on=finance.initiative.npv.amt, finance.initiative.terminal_value.amt.industrial</t>
        </is>
      </c>
    </row>
    <row r="186">
      <c r="A186" s="5" t="inlineStr">
        <is>
          <t>sens.lane_module.dur.plus_6mo</t>
        </is>
      </c>
      <c r="B186" t="inlineStr">
        <is>
          <t>years</t>
        </is>
      </c>
      <c r="C186">
        <f>(ops.regulatory.recert.dur + ops.qualification.dur + ops.design_in.dur + 6) / 12</f>
        <v/>
      </c>
      <c r="D186" t="n">
        <v>1</v>
      </c>
      <c r="E186" s="7">
        <f>ROUND(C186,D186)</f>
        <v/>
      </c>
      <c r="F186">
        <f>IF(full_precision,C186,E186)</f>
        <v/>
      </c>
      <c r="G186" s="7" t="n">
        <v>3.5</v>
      </c>
      <c r="H186" s="8">
        <f>E186-G186</f>
        <v/>
      </c>
      <c r="I186" t="inlineStr">
        <is>
          <t>yes</t>
        </is>
      </c>
      <c r="J186" s="5" t="inlineStr">
        <is>
          <t>(ops.regulatory.recert.dur + ops.qualification.dur + ops.design_in.dur + 6) / 12</t>
        </is>
      </c>
    </row>
    <row r="187">
      <c r="A187" s="5" t="inlineStr">
        <is>
          <t>sens.portfolio_pool.amt.2029.down_20</t>
        </is>
      </c>
      <c r="B187" t="inlineStr">
        <is>
          <t>USD M</t>
        </is>
      </c>
      <c r="C187">
        <f>market.portfolio.reachable_pool.amt.2029 * 0.8</f>
        <v/>
      </c>
      <c r="D187" t="n">
        <v>0</v>
      </c>
      <c r="E187" s="7">
        <f>ROUND(C187,D187)</f>
        <v/>
      </c>
      <c r="F187">
        <f>IF(full_precision,C187,E187)</f>
        <v/>
      </c>
      <c r="G187" s="7" t="n">
        <v>586</v>
      </c>
      <c r="H187" s="8">
        <f>E187-G187</f>
        <v/>
      </c>
      <c r="I187" t="inlineStr">
        <is>
          <t>yes</t>
        </is>
      </c>
      <c r="J187" s="5" t="inlineStr">
        <is>
          <t>market.portfolio.reachable_pool.amt.2029 * 0.8</t>
        </is>
      </c>
    </row>
    <row r="188">
      <c r="A188" s="5" t="inlineStr">
        <is>
          <t>sens.share_for_target.pct.pool_down_20</t>
        </is>
      </c>
      <c r="B188" t="inlineStr">
        <is>
          <t>pct</t>
        </is>
      </c>
      <c r="C188">
        <f>frame.target.revenue.amt.2029 / sens.portfolio_pool.amt.2029.down_20 * 100</f>
        <v/>
      </c>
      <c r="D188" t="n">
        <v>1</v>
      </c>
      <c r="E188" s="7">
        <f>ROUND(C188,D188)</f>
        <v/>
      </c>
      <c r="F188">
        <f>IF(full_precision,C188,E188)</f>
        <v/>
      </c>
      <c r="G188" s="7" t="n">
        <v>59.7</v>
      </c>
      <c r="H188" s="8">
        <f>E188-G188</f>
        <v/>
      </c>
      <c r="I188" t="inlineStr">
        <is>
          <t>yes</t>
        </is>
      </c>
      <c r="J188" s="5" t="inlineStr">
        <is>
          <t>frame.target.revenue.amt.2029 / sens.portfolio_pool.amt.2029.down_20 * 100</t>
        </is>
      </c>
    </row>
    <row r="189">
      <c r="A189" s="5" t="inlineStr">
        <is>
          <t>sens.line_b.revenue.amt.2032.share_40</t>
        </is>
      </c>
      <c r="B189" t="inlineStr">
        <is>
          <t>USD M</t>
        </is>
      </c>
      <c r="C189">
        <f>market.module.contestable_pool.amt.2029 * 40 / 100</f>
        <v/>
      </c>
      <c r="D189" t="n">
        <v>1</v>
      </c>
      <c r="E189" s="7">
        <f>ROUND(C189,D189)</f>
        <v/>
      </c>
      <c r="F189">
        <f>IF(full_precision,C189,E189)</f>
        <v/>
      </c>
      <c r="G189" s="7" t="n">
        <v>20.3</v>
      </c>
      <c r="H189" s="8">
        <f>E189-G189</f>
        <v/>
      </c>
      <c r="I189" t="inlineStr">
        <is>
          <t>yes</t>
        </is>
      </c>
      <c r="J189" s="5" t="inlineStr">
        <is>
          <t>market.module.contestable_pool.amt.2029 * 40 / 100</t>
        </is>
      </c>
    </row>
    <row r="190">
      <c r="A190" s="5" t="inlineStr">
        <is>
          <t>sens.line_b.revenue.amt.2032.share_70</t>
        </is>
      </c>
      <c r="B190" t="inlineStr">
        <is>
          <t>USD M</t>
        </is>
      </c>
      <c r="C190">
        <f>market.module.contestable_pool.amt.2029 * 70 / 100</f>
        <v/>
      </c>
      <c r="D190" t="n">
        <v>1</v>
      </c>
      <c r="E190" s="7">
        <f>ROUND(C190,D190)</f>
        <v/>
      </c>
      <c r="F190">
        <f>IF(full_precision,C190,E190)</f>
        <v/>
      </c>
      <c r="G190" s="7" t="n">
        <v>35.6</v>
      </c>
      <c r="H190" s="8">
        <f>E190-G190</f>
        <v/>
      </c>
      <c r="I190" t="inlineStr">
        <is>
          <t>yes</t>
        </is>
      </c>
      <c r="J190" s="5" t="inlineStr">
        <is>
          <t>market.module.contestable_pool.amt.2029 * 70 / 100</t>
        </is>
      </c>
    </row>
    <row r="191">
      <c r="A191" s="5" t="inlineStr">
        <is>
          <t>sens.ecg_merchant.pool.amt.2029.at_10pct</t>
        </is>
      </c>
      <c r="B191" t="inlineStr">
        <is>
          <t>USD M</t>
        </is>
      </c>
      <c r="C191">
        <f>market.ecg_electrode.revenue.amt.2026 * 10 / 100 * _market.growth.ecg_3yr.ratio</f>
        <v/>
      </c>
      <c r="D191" t="n">
        <v>1</v>
      </c>
      <c r="E191" s="7">
        <f>ROUND(C191,D191)</f>
        <v/>
      </c>
      <c r="F191">
        <f>IF(full_precision,C191,E191)</f>
        <v/>
      </c>
      <c r="G191" s="7" t="n">
        <v>397.9</v>
      </c>
      <c r="H191" s="8">
        <f>E191-G191</f>
        <v/>
      </c>
      <c r="I191" t="inlineStr">
        <is>
          <t>yes</t>
        </is>
      </c>
      <c r="J191" s="5" t="inlineStr">
        <is>
          <t>market.ecg_electrode.revenue.amt.2026 * 10 / 100 * _market.growth.ecg_3yr.ratio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30" customWidth="1" min="1" max="1"/>
    <col width="100" customWidth="1" min="2" max="2"/>
  </cols>
  <sheetData>
    <row r="1">
      <c r="A1" s="11" t="inlineStr">
        <is>
          <t>This workbook</t>
        </is>
      </c>
      <c r="B1" s="12" t="inlineStr"/>
    </row>
    <row r="2">
      <c r="A2" t="inlineStr"/>
      <c r="B2" s="12" t="inlineStr">
        <is>
          <t>Every figure the memo states, as a live cell. Change a shaded input on the Inputs sheet and every formula resting on it moves. Nothing is locked - the shading marks what is meant to move, it does not stop you moving anything else.</t>
        </is>
      </c>
    </row>
    <row r="3">
      <c r="A3" t="inlineStr"/>
      <c r="B3" s="12" t="inlineStr"/>
    </row>
    <row r="4">
      <c r="A4" s="11" t="inlineStr">
        <is>
          <t>Run</t>
        </is>
      </c>
      <c r="B4" s="12" t="inlineStr">
        <is>
          <t>Meridian010-5RQN</t>
        </is>
      </c>
    </row>
    <row r="5">
      <c r="A5" s="11" t="inlineStr">
        <is>
          <t>Case</t>
        </is>
      </c>
      <c r="B5" s="12" t="inlineStr">
        <is>
          <t>Meridian</t>
        </is>
      </c>
    </row>
    <row r="6">
      <c r="A6" s="11" t="inlineStr">
        <is>
          <t>Model</t>
        </is>
      </c>
      <c r="B6" s="12" t="inlineStr">
        <is>
          <t>claude-opus-5</t>
        </is>
      </c>
    </row>
    <row r="7">
      <c r="A7" s="11" t="inlineStr">
        <is>
          <t>Skill commit</t>
        </is>
      </c>
      <c r="B7" s="12" t="inlineStr">
        <is>
          <t>aac9d5156a7dcff4bcdbee5ab2843c5a1636eeb6 (aac9d51)</t>
        </is>
      </c>
    </row>
    <row r="8">
      <c r="A8" s="11" t="inlineStr">
        <is>
          <t>Run created</t>
        </is>
      </c>
      <c r="B8" s="12" t="inlineStr">
        <is>
          <t>2026-08-05T07:13:18Z</t>
        </is>
      </c>
    </row>
    <row r="9">
      <c r="A9" t="inlineStr"/>
      <c r="B9" s="12" t="inlineStr"/>
    </row>
    <row r="10">
      <c r="A10" s="11" t="inlineStr">
        <is>
          <t>Figures</t>
        </is>
      </c>
      <c r="B10" s="12" t="inlineStr">
        <is>
          <t>343 manifest rows</t>
        </is>
      </c>
    </row>
    <row r="11">
      <c r="A11" t="inlineStr">
        <is>
          <t xml:space="preserve">  you can change</t>
        </is>
      </c>
      <c r="B11" s="12" t="inlineStr">
        <is>
          <t>142 inputs, shaded yellow, of which 10 are judgments - a number the case chose rather than computed, and the likeliest thing worth testing</t>
        </is>
      </c>
    </row>
    <row r="12">
      <c r="A12" t="inlineStr">
        <is>
          <t xml:space="preserve">  recalculate</t>
        </is>
      </c>
      <c r="B12" s="12" t="inlineStr">
        <is>
          <t>156</t>
        </is>
      </c>
    </row>
    <row r="13">
      <c r="A13" t="inlineStr">
        <is>
          <t xml:space="preserve">  do not</t>
        </is>
      </c>
      <c r="B13" s="12" t="inlineStr">
        <is>
          <t>18 - shaded orange, see below</t>
        </is>
      </c>
    </row>
    <row r="14">
      <c r="A14" t="inlineStr">
        <is>
          <t xml:space="preserve">  relations</t>
        </is>
      </c>
      <c r="B14" s="12" t="inlineStr">
        <is>
          <t>27 - not yet in the workbook</t>
        </is>
      </c>
    </row>
    <row r="15">
      <c r="A15" t="inlineStr"/>
      <c r="B15" s="12" t="inlineStr"/>
    </row>
    <row r="16">
      <c r="A16" s="11" t="inlineStr">
        <is>
          <t>Why some figures do not recalculate</t>
        </is>
      </c>
      <c r="B16" s="12" t="inlineStr"/>
    </row>
    <row r="17">
      <c r="A17" t="inlineStr"/>
      <c r="B17" s="12" t="inlineStr">
        <is>
          <t>The Recalculates column says which reason applies to each.</t>
        </is>
      </c>
    </row>
    <row r="18">
      <c r="A18" t="inlineStr"/>
      <c r="B18" s="12" t="inlineStr">
        <is>
          <t>SOLVED FOR, NOT EVALUATED - an IRR, an NPV, a payback flag. These are reached by iteration rather than by arithmetic, so there is no expression to put in the cell and the number stands as the memo published it. Excel computes these natively and a later version will.</t>
        </is>
      </c>
    </row>
    <row r="19">
      <c r="A19" t="inlineStr"/>
      <c r="B19" s="12" t="inlineStr">
        <is>
          <t>THE MEMO DID NOT RECORD ITS FORMULA - the figure is another figure under a second name, and the run wrote down what it depends on instead of the derivation. Nothing here repairs that, because doing so would assert a relationship the memo does not state.</t>
        </is>
      </c>
    </row>
    <row r="20">
      <c r="A20" t="inlineStr"/>
      <c r="B20" s="12" t="inlineStr">
        <is>
          <t>Either way, what the run believes bears on the figure is written out in the Derivation column, which is that row of the memo's figures manifest verbatim.</t>
        </is>
      </c>
    </row>
    <row r="21">
      <c r="A21" t="inlineStr"/>
      <c r="B21" s="12" t="inlineStr"/>
    </row>
    <row r="22">
      <c r="A22" s="11" t="inlineStr">
        <is>
          <t>Precision mode</t>
        </is>
      </c>
      <c r="B22" s="12" t="inlineStr">
        <is>
          <t>Model!B1, at the top of the Model sheet</t>
        </is>
      </c>
    </row>
    <row r="23">
      <c r="A23" s="11" t="inlineStr">
        <is>
          <t>The Model columns</t>
        </is>
      </c>
      <c r="B23" s="12" t="inlineStr">
        <is>
          <t>Unrounded is the calculation, and it reads the Used column of the rows it names. Rounded is that to the decimals the memo prints. Used is what every other row reads, and the only cell the precision mode moves.</t>
        </is>
      </c>
    </row>
    <row r="24">
      <c r="A24" t="inlineStr"/>
      <c r="B24" s="12" t="inlineStr">
        <is>
          <t>AS PUBLISHED (the default) reproduces the memo exactly. The model rounds each figure as it declares it and carries the rounded value into what follows, so the workbook does the same and every figure ties.</t>
        </is>
      </c>
    </row>
    <row r="25">
      <c r="A25" t="inlineStr"/>
      <c r="B25" s="12" t="inlineStr">
        <is>
          <t>FULL PRECISION computes each figure from unrounded inputs. It is the truer arithmetic and it will not match the memo everywhere. The banner at the top of the Model sheet counts how many figures differ, and the hidden Memo and vs memo columns (G:H) say which. Use it to see whether rounding changes anything that matters; quote figures from the memo, not from this mode.</t>
        </is>
      </c>
    </row>
    <row r="26">
      <c r="A26" t="inlineStr"/>
      <c r="B26" s="12" t="inlineStr"/>
    </row>
    <row r="27">
      <c r="A27" s="11" t="inlineStr">
        <is>
          <t>Held to the memo</t>
        </is>
      </c>
      <c r="B27" s="12" t="inlineStr">
        <is>
          <t>1 figure(s). Excel rounds a 15-significant-digit view of a number where the model rounds the exact value, so a few last digits are not reachable by any formula. Those cells hold what the memo printed until you switch to full precision, which is what stops the difference being inherited by every cell below them.</t>
        </is>
      </c>
    </row>
    <row r="28">
      <c r="A28" s="11" t="inlineStr">
        <is>
          <t>Tie-out</t>
        </is>
      </c>
      <c r="B28" s="12" t="inlineStr">
        <is>
          <t>clean - every recalculating figure reproduces the memo</t>
        </is>
      </c>
    </row>
    <row r="29">
      <c r="A29" s="11" t="inlineStr">
        <is>
          <t>Units</t>
        </is>
      </c>
      <c r="B29" s="12" t="inlineStr">
        <is>
          <t>Carried, never converted. Derivations handle scale themselves, so the unit column labels a number and does not transform it.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Meridian010-5RQN</dc:creator>
  <dcterms:created xsi:type="dcterms:W3CDTF">2026-08-05T07:13:18Z</dcterms:created>
  <dcterms:modified xsi:type="dcterms:W3CDTF">2026-08-05T07:13:18Z</dcterms:modified>
  <cp:lastModifiedBy>Meridian010-5RQN</cp:lastModifiedBy>
</cp:coreProperties>
</file>