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puts" sheetId="1" state="visible" r:id="rId1"/>
    <sheet name="Model" sheetId="2" state="visible" r:id="rId2"/>
    <sheet name="About" sheetId="3" state="visible" r:id="rId3"/>
  </sheets>
  <definedNames>
    <definedName name="full_precision">Model!$B$1</definedName>
    <definedName name="_ops.methane.energy.rate">Inputs!$B$5</definedName>
    <definedName name="_ops.methane.density.rate">Inputs!$B$6</definedName>
    <definedName name="_ops.energy.conversion.ratio">Inputs!$B$7</definedName>
    <definedName name="_finance.fx.thb.rate">Inputs!$B$8</definedName>
    <definedName name="_finance.fx.myr.rate">Inputs!$B$9</definedName>
    <definedName name="ops.methane.energy.rate.mass">Model!$F$5</definedName>
    <definedName name="_ops.biomethane.purity.pct">Inputs!$B$10</definedName>
    <definedName name="_ops.carbon_dioxide.density.rate">Inputs!$B$11</definedName>
    <definedName name="ops.biomethane.density.rate">Model!$F$6</definedName>
    <definedName name="ops.biomethane.energy.rate.mass">Model!$F$7</definedName>
    <definedName name="market.feedstock.volume.rate.national">Inputs!$B$13</definedName>
    <definedName name="market.mill.cnt.national">Inputs!$B$14</definedName>
    <definedName name="market.plantation.pct.south">Inputs!$B$15</definedName>
    <definedName name="market.mill.cnt.south">Inputs!$B$16</definedName>
    <definedName name="market.feedstock.volume.rate.south">Model!$F$9</definedName>
    <definedName name="market.mill.throughput.rate">Model!$F$10</definedName>
    <definedName name="_ops.effluent.yield.ratio">Inputs!$B$17</definedName>
    <definedName name="ops.biogas.yield.ratio">Inputs!$B$18</definedName>
    <definedName name="ops.biogas.yield.ratio.literature">Inputs!$B$19</definedName>
    <definedName name="_ops.biogas.methane.pct">Inputs!$B$20</definedName>
    <definedName name="_ops.upgrading.recovery.pct">Inputs!$B$21</definedName>
    <definedName name="ops.mill.biogas.rate.annual">Model!$F$11</definedName>
    <definedName name="ops.mill.biogas.rate">Model!$F$12</definedName>
    <definedName name="ops.mill.biogas.rate.client">Inputs!$B$22</definedName>
    <definedName name="ops.mill.biogas.ratio.client">Model!$F$13</definedName>
    <definedName name="market.mill.pct.with_digester">Inputs!$B$23</definedName>
    <definedName name="market.mill.cnt.with_digester">Model!$F$14</definedName>
    <definedName name="ops.mill.biomethane.rate">Model!$F$15</definedName>
    <definedName name="ops.mill.biomethane.rate.mass">Model!$F$16</definedName>
    <definedName name="ops.mill.energy.rate">Model!$F$17</definedName>
    <definedName name="demand.sandbox.capacity.rate">Inputs!$B$25</definedName>
    <definedName name="demand.sandbox.volume.cnt">Inputs!$B$26</definedName>
    <definedName name="_demand.generation.efficiency.pct">Inputs!$B$27</definedName>
    <definedName name="_demand.generation.utilization.pct">Inputs!$B$28</definedName>
    <definedName name="_ops.energy.kwh.rate">Inputs!$B$29</definedName>
    <definedName name="_demand.generation.heat.rate">Model!$F$19</definedName>
    <definedName name="demand.sandbox.energy.rate">Model!$F$20</definedName>
    <definedName name="demand.sandbox.volume.rate.mass">Model!$F$21</definedName>
    <definedName name="demand.sandbox.quota.dur">Model!$F$22</definedName>
    <definedName name="frame.offtake.term.dur">Inputs!$B$30</definedName>
    <definedName name="demand.sandbox.energy.rate.over_term">Model!$F$23</definedName>
    <definedName name="demand.sandbox.volume.rate.mass.over_term">Model!$F$24</definedName>
    <definedName name="demand.bunker.volume.rate.lng">Inputs!$B$31</definedName>
    <definedName name="demand.bunker.volume.rate.lng_daily">Model!$F$25</definedName>
    <definedName name="demand.datacenter.capacity.rate">Inputs!$B$32</definedName>
    <definedName name="_demand.datacenter.green.pct">Inputs!$B$33</definedName>
    <definedName name="market.competitor.volume.rate.straits">Inputs!$B$34</definedName>
    <definedName name="market.competitor.energy.rate.straits">Model!$F$26</definedName>
    <definedName name="market.competitor.pct.straits">Model!$F$27</definedName>
    <definedName name="frame.offtake.price.amt">Inputs!$B$35</definedName>
    <definedName name="frame.offtake.price.amt.client_lbm">Inputs!$B$36</definedName>
    <definedName name="frame.offtake.price.amt.client_cbm">Inputs!$B$37</definedName>
    <definedName name="market.gas.price.amt.thai_retail">Inputs!$B$38</definedName>
    <definedName name="frame.hub.capacity.rate.phase1">Inputs!$B$40</definedName>
    <definedName name="frame.hub.capacity.rate.full">Inputs!$B$41</definedName>
    <definedName name="demand.hub.pct.of_quota">Model!$F$29</definedName>
    <definedName name="demand.hub.pct.of_capacity">Model!$F$30</definedName>
    <definedName name="_ops.plant.uptime.cnt">Inputs!$B$42</definedName>
    <definedName name="_ops.feedstock.availability.pct">Inputs!$B$43</definedName>
    <definedName name="ops.mill.biomethane.volume.rate">Model!$F$31</definedName>
    <definedName name="ops.hub.biomethane.volume.rate.phase1">Model!$F$32</definedName>
    <definedName name="ops.hub.biomethane.volume.rate.full">Model!$F$33</definedName>
    <definedName name="ops.hub.mill.cnt.phase1">Model!$F$34</definedName>
    <definedName name="ops.hub.mill.cnt.full">Model!$F$35</definedName>
    <definedName name="ops.hub.mill.pct.full">Model!$F$36</definedName>
    <definedName name="ops.hub.mill.pct.full_of_digesters">Model!$F$37</definedName>
    <definedName name="ops.hub.mill.cnt.client">Inputs!$B$44</definedName>
    <definedName name="ops.hub.biogas.rate.client">Model!$F$38</definedName>
    <definedName name="ops.hub.capacity.rate.client">Model!$F$39</definedName>
    <definedName name="ops.biogas.density.rate">Model!$F$41</definedName>
    <definedName name="ops.biogas.density.rate.client">Inputs!$B$46</definedName>
    <definedName name="frame.feedstock.price.amt.reference">Inputs!$B$47</definedName>
    <definedName name="ops.feedstock.price.amt">Model!$F$42</definedName>
    <definedName name="ops.feedstock.price.amt.client">Inputs!$B$48</definedName>
    <definedName name="ops.biogas.energy.rate">Model!$F$43</definedName>
    <definedName name="ops.biogas.requirement.rate">Model!$F$44</definedName>
    <definedName name="finance.unit.cost.feedstock.amt">Model!$F$45</definedName>
    <definedName name="market.power.price.amt.biogas_fit">Inputs!$B$49</definedName>
    <definedName name="_ops.genset.output.rate">Inputs!$B$50</definedName>
    <definedName name="ops.mill.alternative.price.amt">Model!$F$46</definedName>
    <definedName name="ops.mill.alternative.price.amt.net">Model!$F$47</definedName>
    <definedName name="ops.mill.switching.premium.amt">Model!$F$48</definedName>
    <definedName name="ops.mill.switching.premium.pct">Model!$F$49</definedName>
    <definedName name="_ops.upgrading.power.rate">Inputs!$B$52</definedName>
    <definedName name="_ops.power.price.amt">Inputs!$B$53</definedName>
    <definedName name="finance.unit.cost.upgrading_power.amt">Model!$F$51</definedName>
    <definedName name="ops.biogas.sulfur.rate">Inputs!$B$54</definedName>
    <definedName name="ops.biogas.sulfur.rate.client">Inputs!$B$55</definedName>
    <definedName name="ops.biogas.sulfur.ratio.client">Model!$F$52</definedName>
    <definedName name="_ops.desulfurization.removal.pct">Inputs!$B$56</definedName>
    <definedName name="ops.desulfurization.capital.amt">Inputs!$B$57</definedName>
    <definedName name="ops.desulfurization.throughput.rate">Inputs!$B$58</definedName>
    <definedName name="ops.desulfurization.biogas.rate">Model!$F$53</definedName>
    <definedName name="_ops.media.price.amt">Inputs!$B$59</definedName>
    <definedName name="_ops.sulfide.mass.ratio">Inputs!$B$60</definedName>
    <definedName name="_ops.iron_oxide.mass.ratio">Inputs!$B$61</definedName>
    <definedName name="ops.media.capacity.rate.stoichiometric">Model!$F$54</definedName>
    <definedName name="_ops.media.utilization.pct">Inputs!$B$62</definedName>
    <definedName name="ops.media.capacity.rate">Model!$F$55</definedName>
    <definedName name="ops.media.capacity.rate.client">Inputs!$B$63</definedName>
    <definedName name="ops.media.capacity.ratio.client">Model!$F$56</definedName>
    <definedName name="ops.route.tariff.amt.pgu">Inputs!$B$65</definedName>
    <definedName name="ops.route.tariff.amt.singapore_leg">Inputs!$B$66</definedName>
    <definedName name="_ops.route.utilization.pct">Inputs!$B$67</definedName>
    <definedName name="finance.unit.cost.route.amt.pipeline_malaysia">Model!$F$58</definedName>
    <definedName name="ops.route.liquefaction.cost.amt">Inputs!$B$68</definedName>
    <definedName name="ops.route.marine.cost.amt">Inputs!$B$69</definedName>
    <definedName name="ops.route.collection.cost.amt.low">Inputs!$B$70</definedName>
    <definedName name="ops.route.collection.cost.amt.high">Inputs!$B$71</definedName>
    <definedName name="finance.unit.cost.collection.amt.published">Model!$F$59</definedName>
    <definedName name="_ops.trailer.payload.rate">Inputs!$B$72</definedName>
    <definedName name="ops.trailer.energy.rate">Model!$F$60</definedName>
    <definedName name="_ops.trailer.fuel.rate">Inputs!$B$73</definedName>
    <definedName name="_ops.diesel.price.amt">Inputs!$B$74</definedName>
    <definedName name="ops.trailer.fuel.cost.amt">Model!$F$61</definedName>
    <definedName name="_ops.trailer.cost.ratio">Inputs!$B$75</definedName>
    <definedName name="ops.trailer.cost.rate">Model!$F$62</definedName>
    <definedName name="ops.hub.collection.dur">Inputs!$B$76</definedName>
    <definedName name="finance.unit.cost.collection.amt.derived">Model!$F$63</definedName>
    <definedName name="ops.hub.trailer.cnt.phase1">Model!$F$64</definedName>
    <definedName name="finance.unit.cost.terminal.amt">Inputs!$B$77</definedName>
    <definedName name="finance.unit.cost.injection.amt">Inputs!$B$78</definedName>
    <definedName name="ops.route.tariff.amt.thailand">Inputs!$B$79</definedName>
    <definedName name="finance.unit.cost.certification.amt">Inputs!$B$80</definedName>
    <definedName name="_ops.biogas.carbon_dioxide.pct">Inputs!$B$81</definedName>
    <definedName name="ops.carbon_dioxide.yield.rate">Model!$F$65</definedName>
    <definedName name="market.carbon_dioxide.price.amt.india">Inputs!$B$82</definedName>
    <definedName name="market.carbon_dioxide.price.amt.japan">Inputs!$B$83</definedName>
    <definedName name="market.carbon_dioxide.price.amt.netback">Inputs!$B$84</definedName>
    <definedName name="finance.unit.revenue.amt.carbon_dioxide">Model!$F$66</definedName>
    <definedName name="_ops.upgrading.capital.amt.benchmark">Inputs!$B$86</definedName>
    <definedName name="ops.upgrading.capital.amt.benchmark_vendor">Inputs!$B$87</definedName>
    <definedName name="_ops.upgrading.capacity.rate.benchmark">Inputs!$B$88</definedName>
    <definedName name="_finance.capital.scale.ratio">Inputs!$B$89</definedName>
    <definedName name="finance.upgrading.capital.amt.client">Inputs!$B$90</definedName>
    <definedName name="ops.upgrading.capacity.rate.client">Inputs!$B$91</definedName>
    <definedName name="finance.upgrading.capital.amt.benchmark">Model!$F$68</definedName>
    <definedName name="finance.upgrading.capital.amt.client_usd">Model!$F$69</definedName>
    <definedName name="finance.upgrading.capital.ratio.gap">Model!$F$70</definedName>
    <definedName name="finance.liquefaction.capital.amt.client">Inputs!$B$92</definedName>
    <definedName name="finance.liquefaction.capital.rate.client">Model!$F$71</definedName>
    <definedName name="_ops.cluster.mill.cnt">Inputs!$B$94</definedName>
    <definedName name="ops.mill.biogas.rate.hourly">Model!$F$73</definedName>
    <definedName name="ops.cluster.biogas.rate">Model!$F$74</definedName>
    <definedName name="finance.cluster.capital.amt">Model!$F$75</definedName>
    <definedName name="ops.hub.cluster.cnt.phase1">Model!$F$76</definedName>
    <definedName name="ops.hub.cluster.cnt.full">Model!$F$77</definedName>
    <definedName name="_ops.cluster.gathering.dur">Inputs!$B$95</definedName>
    <definedName name="ops.gathering.capital.rate">Inputs!$B$96</definedName>
    <definedName name="finance.gathering.capital.amt.phase1">Model!$F$78</definedName>
    <definedName name="finance.gathering.capital.amt.full">Model!$F$79</definedName>
    <definedName name="finance.upgrading.capital.amt.phase1">Model!$F$80</definedName>
    <definedName name="finance.upgrading.capital.amt.full">Model!$F$81</definedName>
    <definedName name="finance.upgrading.capital.amt.phase1_unclustered">Model!$F$82</definedName>
    <definedName name="ops.hub.capacity.rate.client_product">Model!$F$83</definedName>
    <definedName name="_finance.liquefaction.capital.amt.reference">Inputs!$B$97</definedName>
    <definedName name="finance.liquefaction.capital.amt.phase1">Model!$F$84</definedName>
    <definedName name="finance.liquefaction.capital.amt.full">Model!$F$85</definedName>
    <definedName name="_finance.compression.capital.rate">Inputs!$B$98</definedName>
    <definedName name="finance.compression.capital.amt.phase1">Model!$F$86</definedName>
    <definedName name="finance.compression.capital.amt.full">Model!$F$87</definedName>
    <definedName name="ops.trailer.capital.amt">Inputs!$B$99</definedName>
    <definedName name="_ops.tractor.capital.amt">Inputs!$B$100</definedName>
    <definedName name="_ops.trailer.trip.rate">Inputs!$B$101</definedName>
    <definedName name="_ops.trailer.spare.ratio">Inputs!$B$102</definedName>
    <definedName name="ops.hub.trailer.fleet.cnt.phase1">Model!$F$88</definedName>
    <definedName name="finance.fleet.capital.amt.phase1">Model!$F$89</definedName>
    <definedName name="finance.fleet.capital.amt.full">Model!$F$90</definedName>
    <definedName name="finance.upgrading.capital.rate.client">Model!$F$91</definedName>
    <definedName name="finance.cluster.capital.amt.client">Model!$F$92</definedName>
    <definedName name="finance.upgrading.capital.amt.phase1_client">Model!$F$93</definedName>
    <definedName name="finance.upgrading.capital.amt.full_client">Model!$F$94</definedName>
    <definedName name="ops.hub.scrubber.unit.cnt.phase1">Model!$F$95</definedName>
    <definedName name="finance.desulfurization.capital.amt.phase1">Model!$F$96</definedName>
    <definedName name="finance.desulfurization.capital.amt.full">Model!$F$97</definedName>
    <definedName name="finance.initiative.capital.amt.marine_phase1">Model!$F$98</definedName>
    <definedName name="finance.initiative.capital.amt.marine_phase1_client">Model!$F$99</definedName>
    <definedName name="finance.initiative.capital.amt.pipeline_phase1">Model!$F$100</definedName>
    <definedName name="finance.initiative.capital.amt.pipeline_phase1_client">Model!$F$101</definedName>
    <definedName name="finance.initiative.capital.amt.marine_full">Model!$F$102</definedName>
    <definedName name="finance.initiative.capital.amt.pipeline_full">Model!$F$103</definedName>
    <definedName name="ops.hub.energy.rate.phase1">Model!$F$104</definedName>
    <definedName name="finance.initiative.revenue.amt.phase1">Model!$F$105</definedName>
    <definedName name="ops.biogas.sulfur.rate.polish">Model!$F$107</definedName>
    <definedName name="ops.media.consumption.rate">Model!$F$108</definedName>
    <definedName name="finance.unit.cost.media.amt">Model!$F$109</definedName>
    <definedName name="_finance.plant.maintenance.pct">Inputs!$B$104</definedName>
    <definedName name="ops.mill.labor.amt">Inputs!$B$105</definedName>
    <definedName name="ops.hub.labor.amt.phase1">Model!$F$110</definedName>
    <definedName name="ops.hub.scrubber.cnt.phase1">Model!$F$111</definedName>
    <definedName name="finance.unit.cost.labor.amt">Model!$F$112</definedName>
    <definedName name="finance.unit.cost.maintenance.amt">Model!$F$113</definedName>
    <definedName name="finance.unit.cost.desulfurization.amt">Inputs!$B$106</definedName>
    <definedName name="finance.unit.cost.upgrading_other.amt">Model!$F$114</definedName>
    <definedName name="finance.unit.cost.collection.amt">Model!$F$115</definedName>
    <definedName name="finance.unit.cost.collection.ratio.check">Model!$F$116</definedName>
    <definedName name="finance.unit.cost.plant_gate.amt">Model!$F$117</definedName>
    <definedName name="finance.unit.cost.route.amt.marine">Model!$F$118</definedName>
    <definedName name="finance.unit.cost.route.amt.pipeline">Model!$F$119</definedName>
    <definedName name="_ops.isotank.payload.rate">Inputs!$B$107</definedName>
    <definedName name="ops.isotank.energy.rate">Model!$F$120</definedName>
    <definedName name="finance.unit.cost.handling.amt">Inputs!$B$108</definedName>
    <definedName name="finance.unit.cost.route.amt.isotank">Model!$F$121</definedName>
    <definedName name="ops.route.road.dur">Inputs!$B$109</definedName>
    <definedName name="finance.unit.cost.road_haul.amt">Model!$F$122</definedName>
    <definedName name="finance.unit.cost.border.amt">Inputs!$B$110</definedName>
    <definedName name="finance.unit.cost.route.amt.road">Model!$F$123</definedName>
    <definedName name="ops.route.tolling.dur">Inputs!$B$111</definedName>
    <definedName name="finance.unit.cost.tolling_haul.amt">Model!$F$124</definedName>
    <definedName name="finance.unit.cost.route.amt.tolling">Model!$F$125</definedName>
    <definedName name="finance.unit.cost.delivered.amt.marine">Model!$F$126</definedName>
    <definedName name="finance.unit.cost.delivered.amt.pipeline">Model!$F$127</definedName>
    <definedName name="finance.unit.margin.amt.marine">Model!$F$128</definedName>
    <definedName name="finance.unit.margin.amt.pipeline">Model!$F$129</definedName>
    <definedName name="finance.unit.cost.route.amt.saving">Model!$F$130</definedName>
    <definedName name="_frame.project.life.dur">Inputs!$B$113</definedName>
    <definedName name="_frame.project.discount.pct">Inputs!$B$114</definedName>
    <definedName name="_frame.project.tax.pct">Inputs!$B$115</definedName>
    <definedName name="frame.project.hurdle.pct">Inputs!$B$116</definedName>
    <definedName name="frame.project.hurdle.pct.floor">Inputs!$B$117</definedName>
    <definedName name="frame.project.payback.dur.limit">Inputs!$B$118</definedName>
    <definedName name="_frame.project.overhead.pct">Inputs!$B$119</definedName>
    <definedName name="_frame.project.ramp.pct">Inputs!$B$120</definedName>
    <definedName name="finance.initiative.irr.pct.marine_phase1">Model!$F$132</definedName>
    <definedName name="finance.initiative.irr.pct.pipeline_phase1">Model!$F$133</definedName>
    <definedName name="finance.initiative.npv.amt.marine_phase1">Model!$F$134</definedName>
    <definedName name="finance.initiative.npv.amt.pipeline_phase1">Model!$F$135</definedName>
    <definedName name="finance.initiative.payback.dur.marine_phase1">Model!$F$136</definedName>
    <definedName name="_frame.project.construction.dur">Inputs!$B$121</definedName>
    <definedName name="finance.initiative.payback.dur.pipeline_phase1_from_operation">Model!$F$137</definedName>
    <definedName name="finance.initiative.payback.dur.pipeline_phase1">Model!$F$138</definedName>
    <definedName name="finance.initiative.payback.dur.slack">Model!$F$139</definedName>
    <definedName name="finance.unit.price.amt.floor_marine">Inputs!$B$122</definedName>
    <definedName name="finance.unit.price.amt.floor_pipeline">Inputs!$B$123</definedName>
    <definedName name="finance.unit.price.amt.gap_marine">Model!$F$140</definedName>
    <definedName name="finance.unit.price.amt.gap_pipeline">Model!$F$141</definedName>
    <definedName name="finance.unit.cost.feedstock.amt.ceiling">Inputs!$B$124</definedName>
    <definedName name="finance.unit.cost.feedstock.amt.headroom">Model!$F$142</definedName>
    <definedName name="finance.unit.cost.feedstock.ratio.ceiling_over_alternative">Model!$F$143</definedName>
    <definedName name="finance.unit.cost.route.amt.ceiling">Inputs!$B$125</definedName>
    <definedName name="finance.unit.cost.route.amt.ceiling_headroom">Model!$F$144</definedName>
    <definedName name="finance.unit.cost.route.amt.marine_excess">Model!$F$145</definedName>
    <definedName name="risk.route.tariff.amt.thailand_breaker">Inputs!$B$126</definedName>
    <definedName name="risk.route.tariff.amt.thailand_gate">Inputs!$B$127</definedName>
    <definedName name="_risk.capital.stress.pct">Inputs!$B$129</definedName>
    <definedName name="_risk.feedstock.stress.pct">Inputs!$B$130</definedName>
    <definedName name="_risk.route.stress.pct">Inputs!$B$131</definedName>
    <definedName name="risk.feedstock.price.amt.stress">Model!$F$147</definedName>
    <definedName name="risk.route.cost.amt.stress">Model!$F$148</definedName>
    <definedName name="risk.feedstock.cost.amt.stress">Model!$F$149</definedName>
    <definedName name="risk.unit.cost.delivered.amt.stress">Model!$F$150</definedName>
    <definedName name="risk.initiative.capital.amt.stress">Model!$F$151</definedName>
    <definedName name="risk.initiative.irr.pct.stress">Model!$F$152</definedName>
    <definedName name="risk.initiative.npv.amt.stress">Model!$F$153</definedName>
    <definedName name="finance.initiative.irr.pct.pipeline_full">Model!$F$154</definedName>
    <definedName name="finance.initiative.irr.pct.marine_full">Model!$F$155</definedName>
    <definedName name="finance.initiative.irr.pct.marine_phase1_client_capex">Model!$F$156</definedName>
    <definedName name="finance.initiative.irr.pct.pipeline_phase1_client_capex">Model!$F$157</definedName>
    <definedName name="_finance.carbon_dioxide.capital.ratio">Inputs!$B$133</definedName>
    <definedName name="finance.liquefaction.capital.rate.reference">Model!$F$159</definedName>
    <definedName name="finance.carbon_dioxide.capital.rate">Model!$F$160</definedName>
    <definedName name="ops.carbon_dioxide.rate.phase1">Model!$F$161</definedName>
    <definedName name="finance.carbon_dioxide.capital.amt.phase1">Model!$F$162</definedName>
    <definedName name="finance.initiative.capital.amt.pipeline_co2_phase1">Model!$F$163</definedName>
    <definedName name="finance.unit.cost.delivered.amt.pipeline_net_of_co2">Model!$F$164</definedName>
    <definedName name="finance.initiative.irr.pct.pipeline_co2_phase1">Model!$F$165</definedName>
    <definedName name="finance.carbon_dioxide.price.amt.for_hurdle">Inputs!$B$134</definedName>
    <definedName name="finance.carbon_dioxide.price.pct.of_india">Model!$F$166</definedName>
    <definedName name="frame.offtake.take.pct">Inputs!$B$136</definedName>
    <definedName name="risk.initiative.irr.pct.minimum_take">Model!$F$168</definedName>
    <definedName name="risk.initiative.npv.amt.minimum_take">Model!$F$169</definedName>
    <definedName name="risk.offtake.take.pct.for_floor">Inputs!$B$137</definedName>
    <definedName name="risk.offtake.take.pct.for_hurdle">Inputs!$B$138</definedName>
    <definedName name="frame.offtake.term.dur.short">Inputs!$B$139</definedName>
    <definedName name="demand.sandbox.volume.rate.mass.over_short_term">Model!$F$170</definedName>
    <definedName name="demand.hub.pct.of_quota_short_term">Model!$F$171</definedName>
    <definedName name="demand.sandbox.volume.rate.mass.if_annual">Model!$F$172</definedName>
    <definedName name="ops.biogas.methane.pct.measured">Inputs!$B$140</definedName>
    <definedName name="finance.unit.cost.feedstock.amt.at_measured_methane">Model!$F$173</definedName>
    <definedName name="ops.upgrading.power.rate.high">Inputs!$B$141</definedName>
    <definedName name="finance.unit.cost.upgrading_power.amt.high">Model!$F$174</definedName>
    <definedName name="finance.liquefaction.capital.rate.high">Inputs!$B$142</definedName>
    <definedName name="finance.liquefaction.capital.ratio.client_against_high">Model!$F$175</definedName>
    <definedName name="risk.initiative.capital.amt.unclustered">Model!$F$177</definedName>
    <definedName name="risk.unit.cost.maintenance.amt.unclustered">Model!$F$178</definedName>
    <definedName name="risk.unit.cost.delivered.amt.unclustered">Model!$F$179</definedName>
    <definedName name="risk.initiative.irr.pct.unclustered">Model!$F$180</definedName>
    <definedName name="ops.hub.uptime.dur">Model!$F$181</definedName>
    <definedName name="risk.initiative.irr.pct.low_uptime">Model!$F$182</definedName>
    <definedName name="risk.initiative.irr.pct.high_uptime">Model!$F$183</definedName>
    <definedName name="ops.biogas.yield.ratio.deviation">Inputs!$B$144</definedName>
    <definedName name="ops.biogas.yield.ratio.low">Model!$F$184</definedName>
    <definedName name="risk.hub.mill.cnt.full_low_yield">Model!$F$185</definedName>
    <definedName name="risk.unit.price.amt.floor_unclustered">Inputs!$B$145</definedName>
    <definedName name="frame.salerno.stake.pct">Inputs!$B$147</definedName>
    <definedName name="frame.salerno.profit.amt.target">Inputs!$B$148</definedName>
    <definedName name="finance.initiative.profit.amt.marine_full">Inputs!$B$149</definedName>
    <definedName name="finance.initiative.profit.amt.pipeline_full">Inputs!$B$150</definedName>
    <definedName name="finance.salerno.profit.amt.equity_full">Model!$F$187</definedName>
    <definedName name="_frame.salerno.fee.pct">Inputs!$B$151</definedName>
    <definedName name="finance.initiative.revenue.amt.full">Model!$F$188</definedName>
    <definedName name="finance.salerno.profit.amt.fee_full">Model!$F$189</definedName>
    <definedName name="_frame.salerno.om.pct">Inputs!$B$152</definedName>
    <definedName name="finance.salerno.revenue.amt.om_full">Model!$F$190</definedName>
    <definedName name="finance.salerno.profit.amt.om_full">Model!$F$191</definedName>
    <definedName name="finance.salerno.profit.amt.full">Model!$F$192</definedName>
    <definedName name="finance.salerno.profit.amt.gap">Model!$F$193</definedName>
    <definedName name="finance.salerno.profit.pct.achieved">Model!$F$194</definedName>
  </definedNames>
  <calcPr calcId="124519" fullCalcOnLoad="1"/>
</workbook>
</file>

<file path=xl/styles.xml><?xml version="1.0" encoding="utf-8"?>
<styleSheet xmlns="http://schemas.openxmlformats.org/spreadsheetml/2006/main">
  <numFmts count="2">
    <numFmt numFmtId="164" formatCode="#,##0.??????"/>
    <numFmt numFmtId="165" formatCode="#,##0.######"/>
  </numFmts>
  <fonts count="4">
    <font>
      <name val="Calibri"/>
      <family val="2"/>
      <color theme="1"/>
      <sz val="11"/>
      <scheme val="minor"/>
    </font>
    <font>
      <b val="1"/>
    </font>
    <font>
      <b val="1"/>
      <color rgb="00FFFFFF"/>
    </font>
    <font>
      <name val="Menlo"/>
      <sz val="10"/>
    </font>
  </fonts>
  <fills count="6">
    <fill>
      <patternFill/>
    </fill>
    <fill>
      <patternFill patternType="gray125"/>
    </fill>
    <fill>
      <patternFill patternType="solid">
        <fgColor rgb="00FFF2CC"/>
      </patternFill>
    </fill>
    <fill>
      <patternFill patternType="solid">
        <fgColor rgb="00D9E2F3"/>
      </patternFill>
    </fill>
    <fill>
      <patternFill patternType="solid">
        <fgColor rgb="001F3864"/>
      </patternFill>
    </fill>
    <fill>
      <patternFill patternType="solid">
        <fgColor rgb="00FBE4D5"/>
      </patternFill>
    </fill>
  </fills>
  <borders count="1">
    <border>
      <left/>
      <right/>
      <top/>
      <bottom/>
      <diagonal/>
    </border>
  </borders>
  <cellStyleXfs count="1">
    <xf numFmtId="0" fontId="0" fillId="0" borderId="0"/>
  </cellStyleXfs>
  <cellXfs count="13">
    <xf numFmtId="0" fontId="0" fillId="0" borderId="0" pivotButton="0" quotePrefix="0" xfId="0"/>
    <xf numFmtId="0" fontId="1" fillId="3" borderId="0" pivotButton="0" quotePrefix="0" xfId="0"/>
    <xf numFmtId="0" fontId="0" fillId="3" borderId="0" pivotButton="0" quotePrefix="0" xfId="0"/>
    <xf numFmtId="0" fontId="2" fillId="4" borderId="0" pivotButton="0" quotePrefix="0" xfId="0"/>
    <xf numFmtId="0" fontId="2" fillId="4" borderId="0" applyAlignment="1" pivotButton="0" quotePrefix="0" xfId="0">
      <alignment horizontal="right"/>
    </xf>
    <xf numFmtId="0" fontId="3" fillId="0" borderId="0" pivotButton="0" quotePrefix="0" xfId="0"/>
    <xf numFmtId="164" fontId="0" fillId="2" borderId="0" pivotButton="0" quotePrefix="0" xfId="0"/>
    <xf numFmtId="164" fontId="0" fillId="0" borderId="0" pivotButton="0" quotePrefix="0" xfId="0"/>
    <xf numFmtId="165" fontId="0" fillId="0" borderId="0" pivotButton="0" quotePrefix="0" xfId="0"/>
    <xf numFmtId="0" fontId="0" fillId="5" borderId="0" pivotButton="0" quotePrefix="0" xfId="0"/>
    <xf numFmtId="164" fontId="0" fillId="5"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52"/>
  <sheetViews>
    <sheetView workbookViewId="0">
      <pane ySplit="3" topLeftCell="A4" activePane="bottomLeft" state="frozen"/>
      <selection pane="bottomLeft" activeCell="A1" sqref="A1"/>
    </sheetView>
  </sheetViews>
  <sheetFormatPr baseColWidth="8" defaultRowHeight="15"/>
  <cols>
    <col width="46" customWidth="1" min="1" max="1"/>
    <col width="19" customWidth="1" min="2" max="2"/>
    <col width="12" customWidth="1" min="3" max="3"/>
    <col width="110" customWidth="1" min="4" max="4"/>
  </cols>
  <sheetData>
    <row r="1">
      <c r="A1" s="1">
        <f>IF(full_precision,"FULL PRECISION - figures may differ from the memo","AS PUBLISHED - every figure matches the memo")</f>
        <v/>
      </c>
      <c r="B1" s="2" t="n"/>
      <c r="C1" s="2" t="n"/>
      <c r="D1" s="2" t="n"/>
    </row>
    <row r="3">
      <c r="A3" s="3" t="inlineStr">
        <is>
          <t>Key</t>
        </is>
      </c>
      <c r="B3" s="4" t="inlineStr">
        <is>
          <t>Value</t>
        </is>
      </c>
      <c r="C3" s="3" t="inlineStr">
        <is>
          <t>Unit</t>
        </is>
      </c>
      <c r="D3" s="3" t="inlineStr">
        <is>
          <t>Source / derivation</t>
        </is>
      </c>
    </row>
    <row r="4">
      <c r="A4" s="1" t="inlineStr">
        <is>
          <t>Constants and conversions</t>
        </is>
      </c>
      <c r="B4" s="2" t="n"/>
      <c r="C4" s="2" t="n"/>
      <c r="D4" s="2" t="n"/>
    </row>
    <row r="5">
      <c r="A5" s="5" t="inlineStr">
        <is>
          <t>_ops.methane.energy.rate</t>
        </is>
      </c>
      <c r="B5" s="6" t="n">
        <v>0.038</v>
      </c>
      <c r="C5" t="inlineStr">
        <is>
          <t>MMBtu/Nm3</t>
        </is>
      </c>
      <c r="D5" t="inlineStr">
        <is>
          <t>source=Financial_Model_Biomethane_ExPlant_DCF_rev01.xlsx, Formula for Conversion C1</t>
        </is>
      </c>
    </row>
    <row r="6">
      <c r="A6" s="5" t="inlineStr">
        <is>
          <t>_ops.methane.density.rate</t>
        </is>
      </c>
      <c r="B6" s="6" t="n">
        <v>0.7168</v>
      </c>
      <c r="C6" t="inlineStr">
        <is>
          <t>kg/Nm3</t>
        </is>
      </c>
      <c r="D6" t="inlineStr">
        <is>
          <t>source=Financial_Model_Biomethane_ExPlant_DCF_rev01.xlsx, Formula for Conversion C2</t>
        </is>
      </c>
    </row>
    <row r="7">
      <c r="A7" s="5" t="inlineStr">
        <is>
          <t>_ops.energy.conversion.ratio</t>
        </is>
      </c>
      <c r="B7" s="6" t="n">
        <v>1.055056</v>
      </c>
      <c r="C7" t="inlineStr">
        <is>
          <t>GJ/MMBtu</t>
        </is>
      </c>
      <c r="D7" t="inlineStr">
        <is>
          <t>source=Financial_Model_Biomethane_ExPlant_DCF_rev01.xlsx, Formula for Conversion C11 and E12 (35.8 MJ/Nm3 methane against 0.038 MMBtu/Nm3)</t>
        </is>
      </c>
    </row>
    <row r="8">
      <c r="A8" s="5" t="inlineStr">
        <is>
          <t>_finance.fx.thb.rate</t>
        </is>
      </c>
      <c r="B8" s="6" t="n">
        <v>33.39</v>
      </c>
      <c r="C8" t="inlineStr">
        <is>
          <t>THB/USD</t>
        </is>
      </c>
      <c r="D8" t="inlineStr">
        <is>
          <t>source=https://tradingeconomics.com/thailand/currency (4 August 2026)</t>
        </is>
      </c>
    </row>
    <row r="9">
      <c r="A9" s="5" t="inlineStr">
        <is>
          <t>_finance.fx.myr.rate</t>
        </is>
      </c>
      <c r="B9" s="6" t="n">
        <v>4.0957</v>
      </c>
      <c r="C9" t="inlineStr">
        <is>
          <t>MYR/USD</t>
        </is>
      </c>
      <c r="D9" t="inlineStr">
        <is>
          <t>source=https://www.exchange-rates.org/exchange-rate-history/usd-myr-2026 (4 August 2026)</t>
        </is>
      </c>
    </row>
    <row r="10">
      <c r="A10" s="5" t="inlineStr">
        <is>
          <t>_ops.biomethane.purity.pct</t>
        </is>
      </c>
      <c r="B10" s="6" t="n">
        <v>0.95</v>
      </c>
      <c r="C10" t="inlineStr">
        <is>
          <t>fraction</t>
        </is>
      </c>
      <c r="D10" t="inlineStr">
        <is>
          <t>source=Financial_Model_Biomethane_ExPlant_DCF_rev01.xlsx, Simulation row 139</t>
        </is>
      </c>
    </row>
    <row r="11">
      <c r="A11" s="5" t="inlineStr">
        <is>
          <t>_ops.carbon_dioxide.density.rate</t>
        </is>
      </c>
      <c r="B11" s="6" t="n">
        <v>1.977</v>
      </c>
      <c r="C11" t="inlineStr">
        <is>
          <t>kg/Nm3</t>
        </is>
      </c>
      <c r="D11" t="inlineStr">
        <is>
          <t>source=Financial_Model_Biomethane_ExPlant_DCF_rev01.xlsx, Formula for Conversion C5</t>
        </is>
      </c>
    </row>
    <row r="12">
      <c r="A12" s="1" t="inlineStr">
        <is>
          <t>The resource</t>
        </is>
      </c>
      <c r="B12" s="2" t="n"/>
      <c r="C12" s="2" t="n"/>
      <c r="D12" s="2" t="n"/>
    </row>
    <row r="13">
      <c r="A13" s="5" t="inlineStr">
        <is>
          <t>market.feedstock.volume.rate.national</t>
        </is>
      </c>
      <c r="B13" s="6" t="n">
        <v>18.6</v>
      </c>
      <c r="C13" t="inlineStr">
        <is>
          <t>Mt FFB/yr</t>
        </is>
      </c>
      <c r="D13" t="inlineStr">
        <is>
          <t>source=https://www.krungsri.com/en/research/industry/industry-outlook/agriculture/palm-oil/io/plam-oil-industry-2025-2027 (2024 oil palm output)</t>
        </is>
      </c>
    </row>
    <row r="14">
      <c r="A14" s="5" t="inlineStr">
        <is>
          <t>market.mill.cnt.national</t>
        </is>
      </c>
      <c r="B14" s="6" t="n">
        <v>124</v>
      </c>
      <c r="C14" t="inlineStr">
        <is>
          <t>mills</t>
        </is>
      </c>
      <c r="D14" t="inlineStr">
        <is>
          <t>source=https://www.krungsri.com/en/research/industry/industry-outlook/agriculture/palm-oil/io/plam-oil-industry-2025-2027</t>
        </is>
      </c>
    </row>
    <row r="15">
      <c r="A15" s="5" t="inlineStr">
        <is>
          <t>market.plantation.pct.south</t>
        </is>
      </c>
      <c r="B15" s="6" t="n">
        <v>0.859</v>
      </c>
      <c r="C15" t="inlineStr">
        <is>
          <t>fraction</t>
        </is>
      </c>
      <c r="D15" t="inlineStr">
        <is>
          <t>source=https://www.krungsri.com/en/research/industry/industry-outlook/agriculture/palm-oil/io/plam-oil-industry-2025-2027 (85.9% of harvested area is in the South)</t>
        </is>
      </c>
    </row>
    <row r="16">
      <c r="A16" s="5" t="inlineStr">
        <is>
          <t>market.mill.cnt.south</t>
        </is>
      </c>
      <c r="B16" s="6" t="n">
        <v>70</v>
      </c>
      <c r="C16" t="inlineStr">
        <is>
          <t>mills</t>
        </is>
      </c>
      <c r="D16" t="inlineStr">
        <is>
          <t>source=Salerno-Thai-Biomethane-Framing.md, "70+ in the South, of an estimated 130 nationwide"</t>
        </is>
      </c>
    </row>
    <row r="17">
      <c r="A17" s="5" t="inlineStr">
        <is>
          <t>_ops.effluent.yield.ratio</t>
        </is>
      </c>
      <c r="B17" s="6" t="n">
        <v>0.7</v>
      </c>
      <c r="C17" t="inlineStr">
        <is>
          <t>m3 POME/t FFB</t>
        </is>
      </c>
      <c r="D17" t="inlineStr">
        <is>
          <t>source=https://www.akademiabaru.com/doc/ARFMTSV63_N1_P1_11.pdf ("ton of FFB oil palm could produce 0.7 POME")</t>
        </is>
      </c>
    </row>
    <row r="18">
      <c r="A18" s="5" t="inlineStr">
        <is>
          <t>ops.biogas.yield.ratio</t>
        </is>
      </c>
      <c r="B18" s="6" t="n">
        <v>25.7</v>
      </c>
      <c r="C18" t="inlineStr">
        <is>
          <t>Nm3 biogas/m3 POME</t>
        </is>
      </c>
      <c r="D18" t="inlineStr">
        <is>
          <t>source=https://pmc.ncbi.nlm.nih.gov/articles/PMC12272170/ (measured across 90 industrial records, 25.7 +/- 6.6)</t>
        </is>
      </c>
    </row>
    <row r="19">
      <c r="A19" s="5" t="inlineStr">
        <is>
          <t>ops.biogas.yield.ratio.literature</t>
        </is>
      </c>
      <c r="B19" s="6" t="n">
        <v>28</v>
      </c>
      <c r="C19" t="inlineStr">
        <is>
          <t>Nm3 biogas/m3 POME</t>
        </is>
      </c>
      <c r="D19" t="inlineStr">
        <is>
          <t>source=https://www.akademiabaru.com/doc/ARFMTSV63_N1_P1_11.pdf ("28 is the amount of biogas produced per tons POME")</t>
        </is>
      </c>
    </row>
    <row r="20">
      <c r="A20" s="5" t="inlineStr">
        <is>
          <t>_ops.biogas.methane.pct</t>
        </is>
      </c>
      <c r="B20" s="6" t="n">
        <v>0.55</v>
      </c>
      <c r="C20" t="inlineStr">
        <is>
          <t>fraction</t>
        </is>
      </c>
      <c r="D20" t="inlineStr">
        <is>
          <t>source=Financial_Model_Biomethane_ExPlant_DCF_rev01.xlsx, Simulation row 96; the measured industrial value at PMC12272170 is 60.5% +/- 1.0, so this is the lower of the two</t>
        </is>
      </c>
    </row>
    <row r="21">
      <c r="A21" s="5" t="inlineStr">
        <is>
          <t>_ops.upgrading.recovery.pct</t>
        </is>
      </c>
      <c r="B21" s="6" t="n">
        <v>0.96</v>
      </c>
      <c r="C21" t="inlineStr">
        <is>
          <t>fraction</t>
        </is>
      </c>
      <c r="D21" t="inlineStr">
        <is>
          <t>source=Financial_Model_Biomethane_ExPlant_DCF_rev01.xlsx, Simulation row 140</t>
        </is>
      </c>
    </row>
    <row r="22">
      <c r="A22" s="5" t="inlineStr">
        <is>
          <t>ops.mill.biogas.rate.client</t>
        </is>
      </c>
      <c r="B22" s="6" t="n">
        <v>30000</v>
      </c>
      <c r="C22" t="inlineStr">
        <is>
          <t>Nm3/day</t>
        </is>
      </c>
      <c r="D22" t="inlineStr">
        <is>
          <t>source=Feedstock-and-Model-Update-Apr-2026.md, "Three palm oil mills, each POME/biogas at about 30,000 Nm3/day"</t>
        </is>
      </c>
    </row>
    <row r="23">
      <c r="A23" s="5" t="inlineStr">
        <is>
          <t>market.mill.pct.with_digester</t>
        </is>
      </c>
      <c r="B23" s="6" t="n">
        <v>0.6</v>
      </c>
      <c r="C23" t="inlineStr">
        <is>
          <t>fraction</t>
        </is>
      </c>
      <c r="D23" t="inlineStr">
        <is>
          <t>source=https://theaseanpost.com/article/aseans-shift-biogas ("Around 60% of palm oil mills in Thailand have already installed a biogas capture system")</t>
        </is>
      </c>
    </row>
    <row r="24">
      <c r="A24" s="1" t="inlineStr">
        <is>
          <t>The Singapore demand</t>
        </is>
      </c>
      <c r="B24" s="2" t="n"/>
      <c r="C24" s="2" t="n"/>
      <c r="D24" s="2" t="n"/>
    </row>
    <row r="25">
      <c r="A25" s="5" t="inlineStr">
        <is>
          <t>demand.sandbox.capacity.rate</t>
        </is>
      </c>
      <c r="B25" s="6" t="n">
        <v>300</v>
      </c>
      <c r="C25" t="inlineStr">
        <is>
          <t>MW</t>
        </is>
      </c>
      <c r="D25" t="inlineStr">
        <is>
          <t>source=https://www.ema.gov.sg/news-events/news/media-releases/2025/piloting-biomethane-imports-to-support-sg-power-sector-decarbonisation</t>
        </is>
      </c>
    </row>
    <row r="26">
      <c r="A26" s="5" t="inlineStr">
        <is>
          <t>demand.sandbox.volume.cnt</t>
        </is>
      </c>
      <c r="B26" s="6" t="n">
        <v>18000000</v>
      </c>
      <c r="C26" t="inlineStr">
        <is>
          <t>MMBtu</t>
        </is>
      </c>
      <c r="D26" t="inlineStr">
        <is>
          <t>source=https://www.spglobal.com/commodity-insights/en/news-research/latest-news/lng/091625-singapore-edb-issues-call-for-proposal-on-biomethane-supply (quota available is 18 million MMBtu)</t>
        </is>
      </c>
    </row>
    <row r="27">
      <c r="A27" s="5" t="inlineStr">
        <is>
          <t>_demand.generation.efficiency.pct</t>
        </is>
      </c>
      <c r="B27" s="6" t="n">
        <v>0.53</v>
      </c>
      <c r="C27" t="inlineStr">
        <is>
          <t>fraction</t>
        </is>
      </c>
      <c r="D27" t="inlineStr">
        <is>
          <t>source=Financial_Model_Biomethane_ExPlant_DCF_rev01.xlsx implied; a modern combined-cycle net efficiency, used here to reproduce the brief's own 300 MW to 740 TPD conversion</t>
        </is>
      </c>
    </row>
    <row r="28">
      <c r="A28" s="5" t="inlineStr">
        <is>
          <t>_demand.generation.utilization.pct</t>
        </is>
      </c>
      <c r="B28" s="6" t="n">
        <v>0.85</v>
      </c>
      <c r="C28" t="inlineStr">
        <is>
          <t>fraction</t>
        </is>
      </c>
      <c r="D28" t="inlineStr">
        <is>
          <t>source=Salerno-Thai-Biomethane-Framing.md implied by its "roughly 740 TPD" conversion of 300 MW</t>
        </is>
      </c>
    </row>
    <row r="29">
      <c r="A29" s="5" t="inlineStr">
        <is>
          <t>_ops.energy.kwh.rate</t>
        </is>
      </c>
      <c r="B29" s="6" t="n">
        <v>3.6</v>
      </c>
      <c r="C29" t="inlineStr">
        <is>
          <t>MJ/kWh</t>
        </is>
      </c>
      <c r="D29" t="inlineStr">
        <is>
          <t>source=Financial_Model_Biomethane_ExPlant_DCF_rev01.xlsx, Formula for Conversion C13 ("1kWh" = 3.6 MJ)</t>
        </is>
      </c>
    </row>
    <row r="30">
      <c r="A30" s="5" t="inlineStr">
        <is>
          <t>frame.offtake.term.dur</t>
        </is>
      </c>
      <c r="B30" s="6" t="n">
        <v>10</v>
      </c>
      <c r="C30" t="inlineStr">
        <is>
          <t>years</t>
        </is>
      </c>
      <c r="D30" t="inlineStr">
        <is>
          <t>source=Salerno-Thai-Biomethane-Framing.md, "a term of 8+ years to match the payback"; ten years is taken as the working case</t>
        </is>
      </c>
    </row>
    <row r="31">
      <c r="A31" s="5" t="inlineStr">
        <is>
          <t>demand.bunker.volume.rate.lng</t>
        </is>
      </c>
      <c r="B31" s="6" t="n">
        <v>571400</v>
      </c>
      <c r="C31" t="inlineStr">
        <is>
          <t>t/yr</t>
        </is>
      </c>
      <c r="D31" t="inlineStr">
        <is>
          <t>source=https://shipandbunker.com/news/apac/456201-analysis-singapore-annual-bunker-sales-reach-new-record-high-in-2025 (Singapore LNG bunker sales in 2025, up 24%)</t>
        </is>
      </c>
    </row>
    <row r="32">
      <c r="A32" s="5" t="inlineStr">
        <is>
          <t>demand.datacenter.capacity.rate</t>
        </is>
      </c>
      <c r="B32" s="6" t="n">
        <v>200</v>
      </c>
      <c r="C32" t="inlineStr">
        <is>
          <t>MW</t>
        </is>
      </c>
      <c r="D32" t="inlineStr">
        <is>
          <t>source=https://www.datacenterdynamics.com/en/news/singapore-opens-call-to-develop-200mw-of-data-center-capacity/ (at least 200 MW of new data-centre capacity, of which at least 50% from eligible green pathways)</t>
        </is>
      </c>
    </row>
    <row r="33">
      <c r="A33" s="5" t="inlineStr">
        <is>
          <t>_demand.datacenter.green.pct</t>
        </is>
      </c>
      <c r="B33" s="6" t="n">
        <v>0.5</v>
      </c>
      <c r="C33" t="inlineStr">
        <is>
          <t>fraction</t>
        </is>
      </c>
      <c r="D33" t="inlineStr">
        <is>
          <t>source=https://www.argusmedia.com/en/news-and-insights/latest-market-news/2760610-singapore-sets-green-power-rules-for-new-data-centres</t>
        </is>
      </c>
    </row>
    <row r="34">
      <c r="A34" s="5" t="inlineStr">
        <is>
          <t>market.competitor.volume.rate.straits</t>
        </is>
      </c>
      <c r="B34" s="6" t="n">
        <v>250000</v>
      </c>
      <c r="C34" t="inlineStr">
        <is>
          <t>t/yr</t>
        </is>
      </c>
      <c r="D34" t="inlineStr">
        <is>
          <t>source=https://straitsbiolng.com/faq/ ("designed to liquefy 250,000 metric ton of LBM per year with ability to ramp up")</t>
        </is>
      </c>
    </row>
    <row r="35">
      <c r="A35" s="5" t="inlineStr">
        <is>
          <t>frame.offtake.price.amt</t>
        </is>
      </c>
      <c r="B35" s="6" t="n">
        <v>20</v>
      </c>
      <c r="C35" t="inlineStr">
        <is>
          <t>USD/MMBtu</t>
        </is>
      </c>
      <c r="D35" t="inlineStr">
        <is>
          <t>source=Salerno-Thai-Biomethane-Framing.md, "a fixed bundled price of $20/MMBtu"; the brief calls this a hard assumption</t>
        </is>
      </c>
    </row>
    <row r="36">
      <c r="A36" s="5" t="inlineStr">
        <is>
          <t>frame.offtake.price.amt.client_lbm</t>
        </is>
      </c>
      <c r="B36" s="6" t="n">
        <v>18</v>
      </c>
      <c r="C36" t="inlineStr">
        <is>
          <t>USD/MMBtu</t>
        </is>
      </c>
      <c r="D36" t="inlineStr">
        <is>
          <t>source=Financial_Model_Biomethane_ExPlant_DCF_rev01.xlsx, Simulation E121</t>
        </is>
      </c>
    </row>
    <row r="37">
      <c r="A37" s="5" t="inlineStr">
        <is>
          <t>frame.offtake.price.amt.client_cbm</t>
        </is>
      </c>
      <c r="B37" s="6" t="n">
        <v>14.42</v>
      </c>
      <c r="C37" t="inlineStr">
        <is>
          <t>USD/MMBtu</t>
        </is>
      </c>
      <c r="D37" t="inlineStr">
        <is>
          <t>source=Financial_Model_Biomethane_ExPlant_DCF_rev01.xlsx, Simulation D121, set equal to the Thai LPG price in row 122</t>
        </is>
      </c>
    </row>
    <row r="38">
      <c r="A38" s="5" t="inlineStr">
        <is>
          <t>market.gas.price.amt.thai_retail</t>
        </is>
      </c>
      <c r="B38" s="6" t="n">
        <v>10</v>
      </c>
      <c r="C38" t="inlineStr">
        <is>
          <t>USD/MMBtu</t>
        </is>
      </c>
      <c r="D38" t="inlineStr">
        <is>
          <t>source=https://www.intratec.us/solutions/energy-prices-markets/commodity/natural-gas-price-thailand (about 333 THB/MMBtu, December 2025)</t>
        </is>
      </c>
    </row>
    <row r="39">
      <c r="A39" s="1" t="inlineStr">
        <is>
          <t>Scale and mill count</t>
        </is>
      </c>
      <c r="B39" s="2" t="n"/>
      <c r="C39" s="2" t="n"/>
      <c r="D39" s="2" t="n"/>
    </row>
    <row r="40">
      <c r="A40" s="5" t="inlineStr">
        <is>
          <t>frame.hub.capacity.rate.phase1</t>
        </is>
      </c>
      <c r="B40" s="6" t="n">
        <v>100</v>
      </c>
      <c r="C40" t="inlineStr">
        <is>
          <t>t/day</t>
        </is>
      </c>
      <c r="D40" t="inlineStr">
        <is>
          <t>source=Salerno-Thai-Biomethane-Framing.md, "first phase &gt;=100 TPD hub"</t>
        </is>
      </c>
    </row>
    <row r="41">
      <c r="A41" s="5" t="inlineStr">
        <is>
          <t>frame.hub.capacity.rate.full</t>
        </is>
      </c>
      <c r="B41" s="6" t="n">
        <v>200</v>
      </c>
      <c r="C41" t="inlineStr">
        <is>
          <t>t/day</t>
        </is>
      </c>
      <c r="D41" t="inlineStr">
        <is>
          <t>source=Salerno-Thai-Biomethane-Framing.md, "a credible, staged path to &gt;=200 TPD"</t>
        </is>
      </c>
    </row>
    <row r="42">
      <c r="A42" s="5" t="inlineStr">
        <is>
          <t>_ops.plant.uptime.cnt</t>
        </is>
      </c>
      <c r="B42" s="6" t="n">
        <v>330</v>
      </c>
      <c r="C42" t="inlineStr">
        <is>
          <t>days/yr</t>
        </is>
      </c>
      <c r="D42" t="inlineStr">
        <is>
          <t>source=Financial_Model_Biomethane_ExPlant_DCF_rev01.xlsx uses 346; reduced here for the seasonality of Thai fresh fruit bunch supply, which the workbook does not model</t>
        </is>
      </c>
    </row>
    <row r="43">
      <c r="A43" s="5" t="inlineStr">
        <is>
          <t>_ops.feedstock.availability.pct</t>
        </is>
      </c>
      <c r="B43" s="6" t="n">
        <v>0.85</v>
      </c>
      <c r="C43" t="inlineStr">
        <is>
          <t>fraction</t>
        </is>
      </c>
      <c r="D43" t="inlineStr">
        <is>
          <t>source=estimate; a hub sized on annual average throughput is short of gas in the low season and spilling it in the peak, and no Thai mill-level seasonal profile was found in the sources searched</t>
        </is>
      </c>
    </row>
    <row r="44">
      <c r="A44" s="5" t="inlineStr">
        <is>
          <t>ops.hub.mill.cnt.client</t>
        </is>
      </c>
      <c r="B44" s="6" t="n">
        <v>3</v>
      </c>
      <c r="C44" t="inlineStr">
        <is>
          <t>mills</t>
        </is>
      </c>
      <c r="D44" t="inlineStr">
        <is>
          <t>source=Feedstock-and-Model-Update-Apr-2026.md, "Three palm oil mills, each POME/biogas at about 30,000 Nm3/day, feed ... an LBM plant ... at 100+ TPD scale"</t>
        </is>
      </c>
    </row>
    <row r="45">
      <c r="A45" s="1" t="inlineStr">
        <is>
          <t>Feedstock cost and the mills' alternative</t>
        </is>
      </c>
      <c r="B45" s="2" t="n"/>
      <c r="C45" s="2" t="n"/>
      <c r="D45" s="2" t="n"/>
    </row>
    <row r="46">
      <c r="A46" s="5" t="inlineStr">
        <is>
          <t>ops.biogas.density.rate.client</t>
        </is>
      </c>
      <c r="B46" s="6" t="n">
        <v>1.2304</v>
      </c>
      <c r="C46" t="inlineStr">
        <is>
          <t>kg/Nm3</t>
        </is>
      </c>
      <c r="D46" t="inlineStr">
        <is>
          <t>source=Financial_Model_Biomethane_ExPlant_DCF_rev01.xlsx, Formula for Conversion E10</t>
        </is>
      </c>
    </row>
    <row r="47">
      <c r="A47" s="5" t="inlineStr">
        <is>
          <t>frame.feedstock.price.amt.reference</t>
        </is>
      </c>
      <c r="B47" s="6" t="n">
        <v>3.25</v>
      </c>
      <c r="C47" t="inlineStr">
        <is>
          <t>THB/kg</t>
        </is>
      </c>
      <c r="D47" t="inlineStr">
        <is>
          <t>source=Salerno-Thai-Biomethane-Framing.md, "reference input 3.25 THB/kg", which is the basis the brief states the feedstock condition against</t>
        </is>
      </c>
    </row>
    <row r="48">
      <c r="A48" s="5" t="inlineStr">
        <is>
          <t>ops.feedstock.price.amt.client</t>
        </is>
      </c>
      <c r="B48" s="6" t="n">
        <v>4</v>
      </c>
      <c r="C48" t="inlineStr">
        <is>
          <t>THB/Nm3</t>
        </is>
      </c>
      <c r="D48" t="inlineStr">
        <is>
          <t>source=Financial_Model_Biomethane_ExPlant_DCF_rev01.xlsx, Simulation C115</t>
        </is>
      </c>
    </row>
    <row r="49">
      <c r="A49" s="5" t="inlineStr">
        <is>
          <t>market.power.price.amt.biogas_fit</t>
        </is>
      </c>
      <c r="B49" s="6" t="n">
        <v>2.0724</v>
      </c>
      <c r="C49" t="inlineStr">
        <is>
          <t>THB/kWh</t>
        </is>
      </c>
      <c r="D49" t="inlineStr">
        <is>
          <t>source=https://www.bakermckenzie.com/-/media/files/insight/publications/2026/07/thailand_government-moves-to-revisit-legacy-renewable-ppas.pdf (the current feed-in tariff for biogas power projects)</t>
        </is>
      </c>
    </row>
    <row r="50">
      <c r="A50" s="5" t="inlineStr">
        <is>
          <t>_ops.genset.output.rate</t>
        </is>
      </c>
      <c r="B50" s="6" t="n">
        <v>1.5</v>
      </c>
      <c r="C50" t="inlineStr">
        <is>
          <t>kWh/Nm3 biogas</t>
        </is>
      </c>
      <c r="D50" t="inlineStr">
        <is>
          <t>source=Financial_Model_Biomethane_ExPlant_DCF_rev01.xlsx, Simulation row 98</t>
        </is>
      </c>
    </row>
    <row r="51">
      <c r="A51" s="1" t="inlineStr">
        <is>
          <t>Upgrading, compression and liquefaction</t>
        </is>
      </c>
      <c r="B51" s="2" t="n"/>
      <c r="C51" s="2" t="n"/>
      <c r="D51" s="2" t="n"/>
    </row>
    <row r="52">
      <c r="A52" s="5" t="inlineStr">
        <is>
          <t>_ops.upgrading.power.rate</t>
        </is>
      </c>
      <c r="B52" s="6" t="n">
        <v>0.25</v>
      </c>
      <c r="C52" t="inlineStr">
        <is>
          <t>kWh/Nm3 raw biogas</t>
        </is>
      </c>
      <c r="D52" t="inlineStr">
        <is>
          <t>source=https://ifactoryapp.com/industries/biogas-plant/biogas-upgrading-technology-comparison ("electricity consumption is typically 0.2-0.3 kWh per normal cubic metre of raw biogas"); midpoint taken</t>
        </is>
      </c>
    </row>
    <row r="53">
      <c r="A53" s="5" t="inlineStr">
        <is>
          <t>_ops.power.price.amt</t>
        </is>
      </c>
      <c r="B53" s="6" t="n">
        <v>3.8</v>
      </c>
      <c r="C53" t="inlineStr">
        <is>
          <t>THB/kWh</t>
        </is>
      </c>
      <c r="D53" t="inlineStr">
        <is>
          <t>source=Financial_Model_Biomethane_ExPlant_DCF_rev01.xlsx, Simulation row 112</t>
        </is>
      </c>
    </row>
    <row r="54">
      <c r="A54" s="5" t="inlineStr">
        <is>
          <t>ops.biogas.sulfur.rate</t>
        </is>
      </c>
      <c r="B54" s="6" t="n">
        <v>943</v>
      </c>
      <c r="C54" t="inlineStr">
        <is>
          <t>mg/Nm3</t>
        </is>
      </c>
      <c r="D54" t="inlineStr">
        <is>
          <t>source=https://pmc.ncbi.nlm.nih.gov/articles/PMC12272170/ (943 +/- 264 measured on an industrial POME biogas plant)</t>
        </is>
      </c>
    </row>
    <row r="55">
      <c r="A55" s="5" t="inlineStr">
        <is>
          <t>ops.biogas.sulfur.rate.client</t>
        </is>
      </c>
      <c r="B55" s="6" t="n">
        <v>304</v>
      </c>
      <c r="C55" t="inlineStr">
        <is>
          <t>mg/Nm3</t>
        </is>
      </c>
      <c r="D55" t="inlineStr">
        <is>
          <t>source=Financial_Model_Biomethane_ExPlant_DCF_rev01.xlsx, Formula for Conversion C17 (200 ppm converted at 1.52)</t>
        </is>
      </c>
    </row>
    <row r="56">
      <c r="A56" s="5" t="inlineStr">
        <is>
          <t>_ops.desulfurization.removal.pct</t>
        </is>
      </c>
      <c r="B56" s="6" t="n">
        <v>0.961</v>
      </c>
      <c r="C56" t="inlineStr">
        <is>
          <t>fraction</t>
        </is>
      </c>
      <c r="D56" t="inlineStr">
        <is>
          <t>source=https://pmc.ncbi.nlm.nih.gov/articles/PMC12272170/ (96.1% +/- 3.9 across the industrial dataset)</t>
        </is>
      </c>
    </row>
    <row r="57">
      <c r="A57" s="5" t="inlineStr">
        <is>
          <t>ops.desulfurization.capital.amt</t>
        </is>
      </c>
      <c r="B57" s="6" t="n">
        <v>250000</v>
      </c>
      <c r="C57" t="inlineStr">
        <is>
          <t>USD</t>
        </is>
      </c>
      <c r="D57" t="inlineStr">
        <is>
          <t>source=https://pmc.ncbi.nlm.nih.gov/articles/PMC12272170/ ("$250 000" unit cost for the biological scrubber)</t>
        </is>
      </c>
    </row>
    <row r="58">
      <c r="A58" s="5" t="inlineStr">
        <is>
          <t>ops.desulfurization.throughput.rate</t>
        </is>
      </c>
      <c r="B58" s="6" t="n">
        <v>14366</v>
      </c>
      <c r="C58" t="inlineStr">
        <is>
          <t>kg/h POME</t>
        </is>
      </c>
      <c r="D58" t="inlineStr">
        <is>
          <t>source=https://pmc.ncbi.nlm.nih.gov/articles/PMC12272170/</t>
        </is>
      </c>
    </row>
    <row r="59">
      <c r="A59" s="5" t="inlineStr">
        <is>
          <t>_ops.media.price.amt</t>
        </is>
      </c>
      <c r="B59" s="6" t="n">
        <v>30</v>
      </c>
      <c r="C59" t="inlineStr">
        <is>
          <t>THB/kg</t>
        </is>
      </c>
      <c r="D59" t="inlineStr">
        <is>
          <t>source=Financial_Model_Biomethane_ExPlant_DCF_rev01.xlsx, Formula for Conversion C15</t>
        </is>
      </c>
    </row>
    <row r="60">
      <c r="A60" s="5" t="inlineStr">
        <is>
          <t>_ops.sulfide.mass.ratio</t>
        </is>
      </c>
      <c r="B60" s="6" t="n">
        <v>34.08</v>
      </c>
      <c r="C60" t="inlineStr">
        <is>
          <t>g/mol</t>
        </is>
      </c>
      <c r="D60" t="inlineStr">
        <is>
          <t>source=the molar mass of hydrogen sulfide, "H2S = 34.08 g/mol"</t>
        </is>
      </c>
    </row>
    <row r="61">
      <c r="A61" s="5" t="inlineStr">
        <is>
          <t>_ops.iron_oxide.mass.ratio</t>
        </is>
      </c>
      <c r="B61" s="6" t="n">
        <v>159.69</v>
      </c>
      <c r="C61" t="inlineStr">
        <is>
          <t>g/mol</t>
        </is>
      </c>
      <c r="D61" t="inlineStr">
        <is>
          <t>source=the molar mass of iron(III) oxide, "Fe2O3 = 159.69 g/mol"</t>
        </is>
      </c>
    </row>
    <row r="62">
      <c r="A62" s="5" t="inlineStr">
        <is>
          <t>_ops.media.utilization.pct</t>
        </is>
      </c>
      <c r="B62" s="6" t="n">
        <v>0.234</v>
      </c>
      <c r="C62" t="inlineStr">
        <is>
          <t>fraction</t>
        </is>
      </c>
      <c r="D62" t="inlineStr">
        <is>
          <t>source=estimate. Commercial iron-oxide media reaches only part of the stoichiometric capacity before breakthrough; this fraction is chosen so the working capacity lands at the 150 mg/g used in the sensitivity work, and it is varied there</t>
        </is>
      </c>
    </row>
    <row r="63">
      <c r="A63" s="5" t="inlineStr">
        <is>
          <t>ops.media.capacity.rate.client</t>
        </is>
      </c>
      <c r="B63" s="6" t="n">
        <v>8.1</v>
      </c>
      <c r="C63" t="inlineStr">
        <is>
          <t>mg H2S/g media</t>
        </is>
      </c>
      <c r="D63" t="inlineStr">
        <is>
          <t>source=Financial_Model_Biomethane_ExPlant_DCF_rev01.xlsx, Formula for Conversion C18</t>
        </is>
      </c>
    </row>
    <row r="64">
      <c r="A64" s="1" t="inlineStr">
        <is>
          <t>Route costs</t>
        </is>
      </c>
      <c r="B64" s="2" t="n"/>
      <c r="C64" s="2" t="n"/>
      <c r="D64" s="2" t="n"/>
    </row>
    <row r="65">
      <c r="A65" s="5" t="inlineStr">
        <is>
          <t>ops.route.tariff.amt.pgu</t>
        </is>
      </c>
      <c r="B65" s="6" t="n">
        <v>1.204</v>
      </c>
      <c r="C65" t="inlineStr">
        <is>
          <t>MYR/GJ/day</t>
        </is>
      </c>
      <c r="D65" t="inlineStr">
        <is>
          <t>source=https://www.petronas.com/pgb/our-business/third-party-access (PGU transportation, allowed tariff 2026)</t>
        </is>
      </c>
    </row>
    <row r="66">
      <c r="A66" s="5" t="inlineStr">
        <is>
          <t>ops.route.tariff.amt.singapore_leg</t>
        </is>
      </c>
      <c r="B66" s="6" t="n">
        <v>1.592</v>
      </c>
      <c r="C66" t="inlineStr">
        <is>
          <t>MYR/GJ/day</t>
        </is>
      </c>
      <c r="D66" t="inlineStr">
        <is>
          <t>source=https://www.petronas.com/pgb/our-business/third-party-access (PGU compression for high-pressure supply to Singapore, allowed tariff 2026)</t>
        </is>
      </c>
    </row>
    <row r="67">
      <c r="A67" s="5" t="inlineStr">
        <is>
          <t>_ops.route.utilization.pct</t>
        </is>
      </c>
      <c r="B67" s="6" t="n">
        <v>0.85</v>
      </c>
      <c r="C67" t="inlineStr">
        <is>
          <t>fraction</t>
        </is>
      </c>
      <c r="D67" t="inlineStr">
        <is>
          <t>source=estimate; capacity on the PGU system is booked and paid for per GJ per day, so the cost per unit delivered is the tariff divided by the share of booked capacity actually used</t>
        </is>
      </c>
    </row>
    <row r="68">
      <c r="A68" s="5" t="inlineStr">
        <is>
          <t>ops.route.liquefaction.cost.amt</t>
        </is>
      </c>
      <c r="B68" s="6" t="n">
        <v>4</v>
      </c>
      <c r="C68" t="inlineStr">
        <is>
          <t>USD/MMBtu</t>
        </is>
      </c>
      <c r="D68" t="inlineStr">
        <is>
          <t>source=Salerno-Thai-Biomethane-Framing.md, "liquefaction adding about US$4/MMBtu"</t>
        </is>
      </c>
    </row>
    <row r="69">
      <c r="A69" s="5" t="inlineStr">
        <is>
          <t>ops.route.marine.cost.amt</t>
        </is>
      </c>
      <c r="B69" s="6" t="n">
        <v>1.35</v>
      </c>
      <c r="C69" t="inlineStr">
        <is>
          <t>USD/MMBtu</t>
        </is>
      </c>
      <c r="D69" t="inlineStr">
        <is>
          <t>source=https://www.apec.org/docs/default-source/Publications/2019/9/Small-scale-LNG-in-Asia-Pacific/219_EWG_Small-scale-LNG-in-Asia-Pacific.pdf (ISO tank container transport unit price for Asia-Pacific)</t>
        </is>
      </c>
    </row>
    <row r="70">
      <c r="A70" s="5" t="inlineStr">
        <is>
          <t>ops.route.collection.cost.amt.low</t>
        </is>
      </c>
      <c r="B70" s="6" t="n">
        <v>1.5</v>
      </c>
      <c r="C70" t="inlineStr">
        <is>
          <t>USD/MMBtu</t>
        </is>
      </c>
      <c r="D70" t="inlineStr">
        <is>
          <t>source=https://www.astuteanalytica.com/industry-report/renewable-natural-gas-market (virtual pipeline logistics penalty of $1.50 to $2.50 per MMBtu)</t>
        </is>
      </c>
    </row>
    <row r="71">
      <c r="A71" s="5" t="inlineStr">
        <is>
          <t>ops.route.collection.cost.amt.high</t>
        </is>
      </c>
      <c r="B71" s="6" t="n">
        <v>2.5</v>
      </c>
      <c r="C71" t="inlineStr">
        <is>
          <t>USD/MMBtu</t>
        </is>
      </c>
      <c r="D71" t="inlineStr">
        <is>
          <t>source=https://www.astuteanalytica.com/industry-report/renewable-natural-gas-market</t>
        </is>
      </c>
    </row>
    <row r="72">
      <c r="A72" s="5" t="inlineStr">
        <is>
          <t>_ops.trailer.payload.rate</t>
        </is>
      </c>
      <c r="B72" s="6" t="n">
        <v>3</v>
      </c>
      <c r="C72" t="inlineStr">
        <is>
          <t>t/trailer</t>
        </is>
      </c>
      <c r="D72" t="inlineStr">
        <is>
          <t>source=Financial_Model_Biomethane_ExPlant_DCF_rev01.xlsx, Formula for Conversion C3 ("CBM per truck (Tons)")</t>
        </is>
      </c>
    </row>
    <row r="73">
      <c r="A73" s="5" t="inlineStr">
        <is>
          <t>_ops.trailer.fuel.rate</t>
        </is>
      </c>
      <c r="B73" s="6" t="n">
        <v>3.3</v>
      </c>
      <c r="C73" t="inlineStr">
        <is>
          <t>km/liter</t>
        </is>
      </c>
      <c r="D73" t="inlineStr">
        <is>
          <t>source=Financial_Model_Biomethane_ExPlant_DCF_rev01.xlsx, Formula for Conversion C4 ("Truck fuel consumption")</t>
        </is>
      </c>
    </row>
    <row r="74">
      <c r="A74" s="5" t="inlineStr">
        <is>
          <t>_ops.diesel.price.amt</t>
        </is>
      </c>
      <c r="B74" s="6" t="n">
        <v>32</v>
      </c>
      <c r="C74" t="inlineStr">
        <is>
          <t>THB/liter</t>
        </is>
      </c>
      <c r="D74" t="inlineStr">
        <is>
          <t>source=Financial_Model_Biomethane_ExPlant_DCF_rev01.xlsx, Simulation row 134 ("Fuel Cost (THB/Lite)//Dessel")</t>
        </is>
      </c>
    </row>
    <row r="75">
      <c r="A75" s="5" t="inlineStr">
        <is>
          <t>_ops.trailer.cost.ratio</t>
        </is>
      </c>
      <c r="B75" s="6" t="n">
        <v>2.4</v>
      </c>
      <c r="C75" t="inlineStr">
        <is>
          <t>ratio</t>
        </is>
      </c>
      <c r="D75" t="inlineStr">
        <is>
          <t>source=estimate; driver, tires, maintenance and insurance against fuel. Depreciation is deliberately excluded, because the fleet is capitalized at finance.fleet.capital.amt.phase1 and charging it here as well would count it twice. No published Thai per-kilometer figure was found in the sources searched</t>
        </is>
      </c>
    </row>
    <row r="76">
      <c r="A76" s="5" t="inlineStr">
        <is>
          <t>ops.hub.collection.dur</t>
        </is>
      </c>
      <c r="B76" s="6" t="n">
        <v>150</v>
      </c>
      <c r="C76" t="inlineStr">
        <is>
          <t>km</t>
        </is>
      </c>
      <c r="D76" t="inlineStr">
        <is>
          <t>source=estimate; the one-way haul implied by spreading about 20 mills across the Surat Thani, Krabi and Songkhla corridor, whose route legs Salerno-Thai-Biomethane-Framing.md gives as about 150 km each</t>
        </is>
      </c>
    </row>
    <row r="77">
      <c r="A77" s="5" t="inlineStr">
        <is>
          <t>finance.unit.cost.terminal.amt</t>
        </is>
      </c>
      <c r="B77" s="6" t="n">
        <v>0.8</v>
      </c>
      <c r="C77" t="inlineStr">
        <is>
          <t>USD/MMBtu</t>
        </is>
      </c>
      <c r="D77" t="inlineStr">
        <is>
          <t>source=estimate; storage, jetty or container-terminal handling and loading at the export point, taken at the low end of the range implied by the APEC small-scale study, which puts fixed costs at 89% of small-scale LNG logistics</t>
        </is>
      </c>
    </row>
    <row r="78">
      <c r="A78" s="5" t="inlineStr">
        <is>
          <t>finance.unit.cost.injection.amt</t>
        </is>
      </c>
      <c r="B78" s="6" t="n">
        <v>0.3</v>
      </c>
      <c r="C78" t="inlineStr">
        <is>
          <t>USD/MMBtu</t>
        </is>
      </c>
      <c r="D78" t="inlineStr">
        <is>
          <t>source=estimate; metering, odorization, gas-quality analysis and custody transfer at a grid entry point, which replaces the marine terminal on the pipeline route and is a smaller facility</t>
        </is>
      </c>
    </row>
    <row r="79">
      <c r="A79" s="5" t="inlineStr">
        <is>
          <t>ops.route.tariff.amt.thailand</t>
        </is>
      </c>
      <c r="B79" s="6" t="n">
        <v>0.5</v>
      </c>
      <c r="C79" t="inlineStr">
        <is>
          <t>USD/MMBtu</t>
        </is>
      </c>
      <c r="D79" t="inlineStr">
        <is>
          <t>source=estimate. The Third Party Access Code of PTT Pipeline exists for the onshore transmission system and sets out tariff calculation methods, per https://www.lexology.com/library/detail.aspx?g=cc06838f-b6de-4182-ac68-d90f029bab56; the rate schedule itself was searched for by name and not obtained, and Cross-Border-Pipeline-and-Wheeling-Charges.md states that wheeling over the mills-to-border segment is "a regulatory scheme still to be confirmed"</t>
        </is>
      </c>
    </row>
    <row r="80">
      <c r="A80" s="5" t="inlineStr">
        <is>
          <t>finance.unit.cost.certification.amt</t>
        </is>
      </c>
      <c r="B80" s="6" t="n">
        <v>0.35</v>
      </c>
      <c r="C80" t="inlineStr">
        <is>
          <t>USD/MMBtu</t>
        </is>
      </c>
      <c r="D80" t="inlineStr">
        <is>
          <t>source=estimate; measurement, mass-balance bookkeeping and annual audit under a scheme of the kind Gas Malaysia uses at Kluang. No published per-unit fee was found in the sources searched</t>
        </is>
      </c>
    </row>
    <row r="81">
      <c r="A81" s="5" t="inlineStr">
        <is>
          <t>_ops.biogas.carbon_dioxide.pct</t>
        </is>
      </c>
      <c r="B81" s="6" t="n">
        <v>0.45</v>
      </c>
      <c r="C81" t="inlineStr">
        <is>
          <t>fraction</t>
        </is>
      </c>
      <c r="D81" t="inlineStr">
        <is>
          <t>source=Financial_Model_Biomethane_ExPlant_DCF_rev01.xlsx, Simulation row 96 sets methane at 55%, and the measured industrial split at https://pmc.ncbi.nlm.nih.gov/articles/PMC12272170/ is 60.5% methane against 34.8% carbon dioxide; the balance of the workbook's own split is taken here</t>
        </is>
      </c>
    </row>
    <row r="82">
      <c r="A82" s="5" t="inlineStr">
        <is>
          <t>market.carbon_dioxide.price.amt.india</t>
        </is>
      </c>
      <c r="B82" s="6" t="n">
        <v>335</v>
      </c>
      <c r="C82" t="inlineStr">
        <is>
          <t>USD/t</t>
        </is>
      </c>
      <c r="D82" t="inlineStr">
        <is>
          <t>source=https://www.imarcgroup.com/liquid-carbon-dioxide-pricing-report (liquid carbon dioxide, India, Q2 2026)</t>
        </is>
      </c>
    </row>
    <row r="83">
      <c r="A83" s="5" t="inlineStr">
        <is>
          <t>market.carbon_dioxide.price.amt.japan</t>
        </is>
      </c>
      <c r="B83" s="6" t="n">
        <v>238</v>
      </c>
      <c r="C83" t="inlineStr">
        <is>
          <t>USD/t</t>
        </is>
      </c>
      <c r="D83" t="inlineStr">
        <is>
          <t>source=https://www.imarcgroup.com/liquid-carbon-dioxide-pricing-report (liquid carbon dioxide, Japan, Q2 2026)</t>
        </is>
      </c>
    </row>
    <row r="84">
      <c r="A84" s="5" t="inlineStr">
        <is>
          <t>market.carbon_dioxide.price.amt.netback</t>
        </is>
      </c>
      <c r="B84" s="6" t="n">
        <v>50</v>
      </c>
      <c r="C84" t="inlineStr">
        <is>
          <t>USD/t</t>
        </is>
      </c>
      <c r="D84" t="inlineStr">
        <is>
          <t>source=estimate. Merchant liquid carbon dioxide sells at 238 to 335 USD/t in the nearest markets with published prices; this figure is what a producer might net at the hub fence after liquefaction, storage and distribution by an industrial gas partner, and no Thai netback was found in the sources searched</t>
        </is>
      </c>
    </row>
    <row r="85">
      <c r="A85" s="1" t="inlineStr">
        <is>
          <t>Capital cost</t>
        </is>
      </c>
      <c r="B85" s="2" t="n"/>
      <c r="C85" s="2" t="n"/>
      <c r="D85" s="2" t="n"/>
    </row>
    <row r="86">
      <c r="A86" s="5" t="inlineStr">
        <is>
          <t>_ops.upgrading.capital.amt.benchmark</t>
        </is>
      </c>
      <c r="B86" s="6" t="n">
        <v>1660000</v>
      </c>
      <c r="C86" t="inlineStr">
        <is>
          <t>USD</t>
        </is>
      </c>
      <c r="D86" t="inlineStr">
        <is>
          <t>source=https://www.sciencedirect.com/science/article/abs/pii/S0196890424013396 ("CAPEX of 1.66 million USD for a PSA system processing 500 Nm3/h of biogas"), Energy Conversion and Management, December 2024</t>
        </is>
      </c>
    </row>
    <row r="87">
      <c r="A87" s="5" t="inlineStr">
        <is>
          <t>ops.upgrading.capital.amt.benchmark_vendor</t>
        </is>
      </c>
      <c r="B87" s="6" t="n">
        <v>2150000</v>
      </c>
      <c r="C87" t="inlineStr">
        <is>
          <t>USD</t>
        </is>
      </c>
      <c r="D87" t="inlineStr">
        <is>
          <t>source=https://www.biogasupgradingplants.com/biogas-blogs/227.html ("A standard 500 Nm3/h PSA plant can cost between $1.8 million to $2.5 million"); midpoint of a vendor range, carried as the high case</t>
        </is>
      </c>
    </row>
    <row r="88">
      <c r="A88" s="5" t="inlineStr">
        <is>
          <t>_ops.upgrading.capacity.rate.benchmark</t>
        </is>
      </c>
      <c r="B88" s="6" t="n">
        <v>500</v>
      </c>
      <c r="C88" t="inlineStr">
        <is>
          <t>Nm3/h</t>
        </is>
      </c>
      <c r="D88" t="inlineStr">
        <is>
          <t>source=https://www.biogasupgradingplants.com/biogas-blogs/227.html</t>
        </is>
      </c>
    </row>
    <row r="89">
      <c r="A89" s="5" t="inlineStr">
        <is>
          <t>_finance.capital.scale.ratio</t>
        </is>
      </c>
      <c r="B89" s="6" t="n">
        <v>0.6</v>
      </c>
      <c r="C89" t="inlineStr">
        <is>
          <t>ratio</t>
        </is>
      </c>
      <c r="D89" t="inlineStr">
        <is>
          <t>source=https://evcvaluation.com/cost-to-capacity-method-applications-and-considerations/ ("C.H. Chilton in 1950 derived a common scale factor for chemical facilities of approximately 0.6"), the six-tenths rule</t>
        </is>
      </c>
    </row>
    <row r="90">
      <c r="A90" s="5" t="inlineStr">
        <is>
          <t>finance.upgrading.capital.amt.client</t>
        </is>
      </c>
      <c r="B90" s="6" t="n">
        <v>61720000</v>
      </c>
      <c r="C90" t="inlineStr">
        <is>
          <t>THB</t>
        </is>
      </c>
      <c r="D90" t="inlineStr">
        <is>
          <t>source=Financial_Model_Biomethane_ExPlant_DCF_rev01.xlsx, Simulation D44 (the 40 TPD case, all-in)</t>
        </is>
      </c>
    </row>
    <row r="91">
      <c r="A91" s="5" t="inlineStr">
        <is>
          <t>ops.upgrading.capacity.rate.client</t>
        </is>
      </c>
      <c r="B91" s="6" t="n">
        <v>4404</v>
      </c>
      <c r="C91" t="inlineStr">
        <is>
          <t>Nm3/h</t>
        </is>
      </c>
      <c r="D91" t="inlineStr">
        <is>
          <t>source=Financial_Model_Biomethane_ExPlant_DCF_rev01.xlsx, Simulation D95 of 105,688.58 Nm3/day divided by 24</t>
        </is>
      </c>
    </row>
    <row r="92">
      <c r="A92" s="5" t="inlineStr">
        <is>
          <t>finance.liquefaction.capital.amt.client</t>
        </is>
      </c>
      <c r="B92" s="6" t="n">
        <v>7392633</v>
      </c>
      <c r="C92" t="inlineStr">
        <is>
          <t>USD</t>
        </is>
      </c>
      <c r="D92" t="inlineStr">
        <is>
          <t>source=Financial_Model_Biomethane_ExPlant_DCF_rev01.xlsx, Simulation E49 of 246,840,000 THB, divided by the exchange rate</t>
        </is>
      </c>
    </row>
    <row r="93">
      <c r="A93" s="1" t="inlineStr">
        <is>
          <t>Capital cost of the build</t>
        </is>
      </c>
      <c r="B93" s="2" t="n"/>
      <c r="C93" s="2" t="n"/>
      <c r="D93" s="2" t="n"/>
    </row>
    <row r="94">
      <c r="A94" s="5" t="inlineStr">
        <is>
          <t>_ops.cluster.mill.cnt</t>
        </is>
      </c>
      <c r="B94" s="6" t="n">
        <v>4</v>
      </c>
      <c r="C94" t="inlineStr">
        <is>
          <t>mills/cluster</t>
        </is>
      </c>
      <c r="D94" t="inlineStr">
        <is>
          <t>source=estimate; the number of mills a short raw-gas gathering line can reach, taken from Feedstock-and-Model-Update-Apr-2026.md, which puts "In total 20+ km for collecting CBG to upgrade in one place"</t>
        </is>
      </c>
    </row>
    <row r="95">
      <c r="A95" s="5" t="inlineStr">
        <is>
          <t>_ops.cluster.gathering.dur</t>
        </is>
      </c>
      <c r="B95" s="6" t="n">
        <v>15</v>
      </c>
      <c r="C95" t="inlineStr">
        <is>
          <t>km</t>
        </is>
      </c>
      <c r="D95" t="inlineStr">
        <is>
          <t>source=estimate; raw-gas gathering line reaching the mills in one cluster, against the "20+ km for collecting" in Feedstock-and-Model-Update-Apr-2026.md</t>
        </is>
      </c>
    </row>
    <row r="96">
      <c r="A96" s="5" t="inlineStr">
        <is>
          <t>ops.gathering.capital.rate</t>
        </is>
      </c>
      <c r="B96" s="6" t="n">
        <v>702777</v>
      </c>
      <c r="C96" t="inlineStr">
        <is>
          <t>THB/km</t>
        </is>
      </c>
      <c r="D96" t="inlineStr">
        <is>
          <t>source=https://link.springer.com/article/10.1186/s13705-022-00339-3 ("the cost of biogas transportation pipeline at approximately 702,777 baht/km")</t>
        </is>
      </c>
    </row>
    <row r="97">
      <c r="A97" s="5" t="inlineStr">
        <is>
          <t>_finance.liquefaction.capital.amt.reference</t>
        </is>
      </c>
      <c r="B97" s="6" t="n">
        <v>7.39</v>
      </c>
      <c r="C97" t="inlineStr">
        <is>
          <t>USD M</t>
        </is>
      </c>
      <c r="D97" t="inlineStr">
        <is>
          <t>source=Financial_Model_Biomethane_ExPlant_DCF_rev01.xlsx, Simulation E49 (246,840,000 THB for the 40 TPD liquefaction unit), converted at the exchange rate</t>
        </is>
      </c>
    </row>
    <row r="98">
      <c r="A98" s="5" t="inlineStr">
        <is>
          <t>_finance.compression.capital.rate</t>
        </is>
      </c>
      <c r="B98" s="6" t="n">
        <v>0.0458</v>
      </c>
      <c r="C98" t="inlineStr">
        <is>
          <t>USD M per t/day</t>
        </is>
      </c>
      <c r="D98" t="inlineStr">
        <is>
          <t>source=Financial_Model_Biomethane_ExPlant_DCF_rev01.xlsx, Simulation D47 and D48 (tanks 27,000,000 THB plus compressors 42,000,000 THB for its 40 TPD case, which is 45.1 t/day of product), converted at the exchange rate</t>
        </is>
      </c>
    </row>
    <row r="99">
      <c r="A99" s="5" t="inlineStr">
        <is>
          <t>ops.trailer.capital.amt</t>
        </is>
      </c>
      <c r="B99" s="6" t="n">
        <v>9000000</v>
      </c>
      <c r="C99" t="inlineStr">
        <is>
          <t>THB</t>
        </is>
      </c>
      <c r="D99" t="inlineStr">
        <is>
          <t>source=Financial_Model_Biomethane_ExPlant_DCF_rev01.xlsx, Simulation D47, which prices tank units at 9,000,000 THB each</t>
        </is>
      </c>
    </row>
    <row r="100">
      <c r="A100" s="5" t="inlineStr">
        <is>
          <t>_ops.tractor.capital.amt</t>
        </is>
      </c>
      <c r="B100" s="6" t="n">
        <v>3000000</v>
      </c>
      <c r="C100" t="inlineStr">
        <is>
          <t>THB</t>
        </is>
      </c>
      <c r="D100" t="inlineStr">
        <is>
          <t>source=estimate; a prime mover against the workbook's 9,000,000 THB tank unit, taken at a third of it</t>
        </is>
      </c>
    </row>
    <row r="101">
      <c r="A101" s="5" t="inlineStr">
        <is>
          <t>_ops.trailer.trip.rate</t>
        </is>
      </c>
      <c r="B101" s="6" t="n">
        <v>2</v>
      </c>
      <c r="C101" t="inlineStr">
        <is>
          <t>round trips/day</t>
        </is>
      </c>
      <c r="D101" t="inlineStr">
        <is>
          <t>source=estimate; a 300 km round trip over the collection radius plus loading and unloading, against a working day</t>
        </is>
      </c>
    </row>
    <row r="102">
      <c r="A102" s="5" t="inlineStr">
        <is>
          <t>_ops.trailer.spare.ratio</t>
        </is>
      </c>
      <c r="B102" s="6" t="n">
        <v>1.2</v>
      </c>
      <c r="C102" t="inlineStr">
        <is>
          <t>ratio</t>
        </is>
      </c>
      <c r="D102" t="inlineStr">
        <is>
          <t>source=estimate; fleet held above the number in daily service, to cover maintenance and the seasonal peak</t>
        </is>
      </c>
    </row>
    <row r="103">
      <c r="A103" s="1" t="inlineStr">
        <is>
          <t>Delivered cost by route</t>
        </is>
      </c>
      <c r="B103" s="2" t="n"/>
      <c r="C103" s="2" t="n"/>
      <c r="D103" s="2" t="n"/>
    </row>
    <row r="104">
      <c r="A104" s="5" t="inlineStr">
        <is>
          <t>_finance.plant.maintenance.pct</t>
        </is>
      </c>
      <c r="B104" s="6" t="n">
        <v>0.045</v>
      </c>
      <c r="C104" t="inlineStr">
        <is>
          <t>fraction</t>
        </is>
      </c>
      <c r="D104" t="inlineStr">
        <is>
          <t>source=Financial_Model_Biomethane_ExPlant_DCF_rev01.xlsx, Simulation D71 (maintenance struck at 0.045 of the upgrading capital cost)</t>
        </is>
      </c>
    </row>
    <row r="105">
      <c r="A105" s="5" t="inlineStr">
        <is>
          <t>ops.mill.labor.amt</t>
        </is>
      </c>
      <c r="B105" s="6" t="n">
        <v>960000</v>
      </c>
      <c r="C105" t="inlineStr">
        <is>
          <t>THB/yr</t>
        </is>
      </c>
      <c r="D105" t="inlineStr">
        <is>
          <t>source=Financial_Model_Biomethane_ExPlant_DCF_rev01.xlsx, Simulation D70 (four operators at 20,000 THB a month)</t>
        </is>
      </c>
    </row>
    <row r="106">
      <c r="A106" s="5" t="inlineStr">
        <is>
          <t>finance.unit.cost.desulfurization.amt</t>
        </is>
      </c>
      <c r="B106" s="6" t="n">
        <v>0.12</v>
      </c>
      <c r="C106" t="inlineStr">
        <is>
          <t>USD/MMBtu</t>
        </is>
      </c>
      <c r="D106" t="inlineStr">
        <is>
          <t>source=estimate; nutrient dosing, blower power and maintenance on the biological scrubbers, whose capital cost is declared at ops.desulfurization.capital.amt but whose running cost is not given at https://pmc.ncbi.nlm.nih.gov/articles/PMC12272170/</t>
        </is>
      </c>
    </row>
    <row r="107">
      <c r="A107" s="5" t="inlineStr">
        <is>
          <t>_ops.isotank.payload.rate</t>
        </is>
      </c>
      <c r="B107" s="6" t="n">
        <v>17</v>
      </c>
      <c r="C107" t="inlineStr">
        <is>
          <t>t/tank</t>
        </is>
      </c>
      <c r="D107" t="inlineStr">
        <is>
          <t>source=estimate; a 40-foot cryogenic tank container carries about this much liquefied gas. No vendor specification was obtained</t>
        </is>
      </c>
    </row>
    <row r="108">
      <c r="A108" s="5" t="inlineStr">
        <is>
          <t>finance.unit.cost.handling.amt</t>
        </is>
      </c>
      <c r="B108" s="6" t="n">
        <v>0.4</v>
      </c>
      <c r="C108" t="inlineStr">
        <is>
          <t>USD/MMBtu</t>
        </is>
      </c>
      <c r="D108" t="inlineStr">
        <is>
          <t>source=estimate; terminal handling, tank lease and boil-off on a container service, which replaces the jetty the marine route needs. No published rate for a cryogenic tank container on the Songkhla to Singapore feeder was found in the sources searched</t>
        </is>
      </c>
    </row>
    <row r="109">
      <c r="A109" s="5" t="inlineStr">
        <is>
          <t>ops.route.road.dur</t>
        </is>
      </c>
      <c r="B109" s="6" t="n">
        <v>800</v>
      </c>
      <c r="C109" t="inlineStr">
        <is>
          <t>km</t>
        </is>
      </c>
      <c r="D109" t="inlineStr">
        <is>
          <t>source=Feedstock-and-Model-Update-Apr-2026.md, "distance about 700-900 km (Southern Thailand to Johor)"; midpoint taken</t>
        </is>
      </c>
    </row>
    <row r="110">
      <c r="A110" s="5" t="inlineStr">
        <is>
          <t>finance.unit.cost.border.amt</t>
        </is>
      </c>
      <c r="B110" s="6" t="n">
        <v>0.3</v>
      </c>
      <c r="C110" t="inlineStr">
        <is>
          <t>USD/MMBtu</t>
        </is>
      </c>
      <c r="D110" t="inlineStr">
        <is>
          <t>source=estimate; customs, inspection and waiting at Sadao or Padang Besar, which Feedstock-and-Model-Update-Apr-2026.md records as "Border customs and regulations to be confirmed"</t>
        </is>
      </c>
    </row>
    <row r="111">
      <c r="A111" s="5" t="inlineStr">
        <is>
          <t>ops.route.tolling.dur</t>
        </is>
      </c>
      <c r="B111" s="6" t="n">
        <v>350</v>
      </c>
      <c r="C111" t="inlineStr">
        <is>
          <t>km</t>
        </is>
      </c>
      <c r="D111" t="inlineStr">
        <is>
          <t>source=estimate of the road distance from the Songkhla corridor to the Muar facility described at https://straitsbiolng.com/faq/</t>
        </is>
      </c>
    </row>
    <row r="112">
      <c r="A112" s="1" t="inlineStr">
        <is>
          <t>Returns</t>
        </is>
      </c>
      <c r="B112" s="2" t="n"/>
      <c r="C112" s="2" t="n"/>
      <c r="D112" s="2" t="n"/>
    </row>
    <row r="113">
      <c r="A113" s="5" t="inlineStr">
        <is>
          <t>_frame.project.life.dur</t>
        </is>
      </c>
      <c r="B113" s="6" t="n">
        <v>15</v>
      </c>
      <c r="C113" t="inlineStr">
        <is>
          <t>years</t>
        </is>
      </c>
      <c r="D113" t="inlineStr">
        <is>
          <t>source=Salerno-Thai-Biomethane-Framing.md, "Model uses a 15-year asset life"</t>
        </is>
      </c>
    </row>
    <row r="114">
      <c r="A114" s="5" t="inlineStr">
        <is>
          <t>_frame.project.discount.pct</t>
        </is>
      </c>
      <c r="B114" s="6" t="n">
        <v>0.08</v>
      </c>
      <c r="C114" t="inlineStr">
        <is>
          <t>fraction</t>
        </is>
      </c>
      <c r="D114" t="inlineStr">
        <is>
          <t>source=Financial_Model_Biomethane_ExPlant_DCF_rev01.xlsx, ASSUMPTION B9</t>
        </is>
      </c>
    </row>
    <row r="115">
      <c r="A115" s="5" t="inlineStr">
        <is>
          <t>_frame.project.tax.pct</t>
        </is>
      </c>
      <c r="B115" s="6" t="n">
        <v>0.2</v>
      </c>
      <c r="C115" t="inlineStr">
        <is>
          <t>fraction</t>
        </is>
      </c>
      <c r="D115" t="inlineStr">
        <is>
          <t>source=Financial_Model_Biomethane_ExPlant_DCF_rev01.xlsx, ASSUMPTION B8</t>
        </is>
      </c>
    </row>
    <row r="116">
      <c r="A116" s="5" t="inlineStr">
        <is>
          <t>frame.project.hurdle.pct</t>
        </is>
      </c>
      <c r="B116" s="6" t="n">
        <v>0.13</v>
      </c>
      <c r="C116" t="inlineStr">
        <is>
          <t>fraction</t>
        </is>
      </c>
      <c r="D116" t="inlineStr">
        <is>
          <t>source=Salerno-Thai-Biomethane-Framing.md, "Go: &gt;=13%"</t>
        </is>
      </c>
    </row>
    <row r="117">
      <c r="A117" s="5" t="inlineStr">
        <is>
          <t>frame.project.hurdle.pct.floor</t>
        </is>
      </c>
      <c r="B117" s="6" t="n">
        <v>0.08</v>
      </c>
      <c r="C117" t="inlineStr">
        <is>
          <t>fraction</t>
        </is>
      </c>
      <c r="D117" t="inlineStr">
        <is>
          <t>source=Salerno-Thai-Biomethane-Framing.md, "No-Go: &lt;8%"</t>
        </is>
      </c>
    </row>
    <row r="118">
      <c r="A118" s="5" t="inlineStr">
        <is>
          <t>frame.project.payback.dur.limit</t>
        </is>
      </c>
      <c r="B118" s="6" t="n">
        <v>8</v>
      </c>
      <c r="C118" t="inlineStr">
        <is>
          <t>years</t>
        </is>
      </c>
      <c r="D118" t="inlineStr">
        <is>
          <t>source=Salerno-Thai-Biomethane-Framing.md, "Payback must be &lt;=8 years including construction"</t>
        </is>
      </c>
    </row>
    <row r="119">
      <c r="A119" s="5" t="inlineStr">
        <is>
          <t>_frame.project.overhead.pct</t>
        </is>
      </c>
      <c r="B119" s="6" t="n">
        <v>0.09</v>
      </c>
      <c r="C119" t="inlineStr">
        <is>
          <t>fraction</t>
        </is>
      </c>
      <c r="D119" t="inlineStr">
        <is>
          <t>source=Financial_Model_Biomethane_ExPlant_DCF_rev01.xlsx, ASSUMPTION B38 and B39 (6% joint-venture fee plus 3% selling and administrative)</t>
        </is>
      </c>
    </row>
    <row r="120">
      <c r="A120" s="5" t="inlineStr">
        <is>
          <t>_frame.project.ramp.pct</t>
        </is>
      </c>
      <c r="B120" s="6" t="n">
        <v>0.7</v>
      </c>
      <c r="C120" t="inlineStr">
        <is>
          <t>fraction</t>
        </is>
      </c>
      <c r="D120" t="inlineStr">
        <is>
          <t>source=estimate; first-year throughput while mills are connected in sequence. The workbook assumes full output from day one</t>
        </is>
      </c>
    </row>
    <row r="121">
      <c r="A121" s="5" t="inlineStr">
        <is>
          <t>_frame.project.construction.dur</t>
        </is>
      </c>
      <c r="B121" s="6" t="n">
        <v>0.5</v>
      </c>
      <c r="C121" t="inlineStr">
        <is>
          <t>years</t>
        </is>
      </c>
      <c r="D121" t="inlineStr">
        <is>
          <t>source=Salerno-Thai-Biomethane-Framing.md, "the roughly 6-month construction period"</t>
        </is>
      </c>
    </row>
    <row r="122">
      <c r="A122" s="5" t="inlineStr">
        <is>
          <t>finance.unit.price.amt.floor_marine</t>
        </is>
      </c>
      <c r="B122" s="6" t="n">
        <v>25.78</v>
      </c>
      <c r="C122" t="inlineStr">
        <is>
          <t>USD/MMBtu</t>
        </is>
      </c>
      <c r="D122" t="inlineStr">
        <is>
          <t>depends_on=finance.initiative.capital.amt.marine_phase1, finance.unit.cost.delivered.amt.marine, frame.project.hurdle.pct</t>
        </is>
      </c>
    </row>
    <row r="123">
      <c r="A123" s="5" t="inlineStr">
        <is>
          <t>finance.unit.price.amt.floor_pipeline</t>
        </is>
      </c>
      <c r="B123" s="6" t="n">
        <v>18.89</v>
      </c>
      <c r="C123" t="inlineStr">
        <is>
          <t>USD/MMBtu</t>
        </is>
      </c>
      <c r="D123" t="inlineStr">
        <is>
          <t>depends_on=finance.initiative.capital.amt.pipeline_phase1, finance.unit.cost.delivered.amt.pipeline, frame.project.hurdle.pct</t>
        </is>
      </c>
    </row>
    <row r="124">
      <c r="A124" s="5" t="inlineStr">
        <is>
          <t>finance.unit.cost.feedstock.amt.ceiling</t>
        </is>
      </c>
      <c r="B124" s="6" t="n">
        <v>4.83</v>
      </c>
      <c r="C124" t="inlineStr">
        <is>
          <t>THB/Nm3</t>
        </is>
      </c>
      <c r="D124" t="inlineStr">
        <is>
          <t>depends_on=finance.initiative.capital.amt.pipeline_phase1, finance.unit.cost.route.amt.pipeline, frame.project.hurdle.pct</t>
        </is>
      </c>
    </row>
    <row r="125">
      <c r="A125" s="5" t="inlineStr">
        <is>
          <t>finance.unit.cost.route.amt.ceiling</t>
        </is>
      </c>
      <c r="B125" s="6" t="n">
        <v>2.65</v>
      </c>
      <c r="C125" t="inlineStr">
        <is>
          <t>USD/MMBtu</t>
        </is>
      </c>
      <c r="D125" t="inlineStr">
        <is>
          <t>depends_on=finance.unit.cost.plant_gate.amt, finance.initiative.capital.amt.pipeline_phase1, frame.project.hurdle.pct</t>
        </is>
      </c>
    </row>
    <row r="126">
      <c r="A126" s="5" t="inlineStr">
        <is>
          <t>risk.route.tariff.amt.thailand_breaker</t>
        </is>
      </c>
      <c r="B126" s="6" t="n">
        <v>2.87</v>
      </c>
      <c r="C126" t="inlineStr">
        <is>
          <t>USD/MMBtu</t>
        </is>
      </c>
      <c r="D126" t="inlineStr">
        <is>
          <t>depends_on=finance.unit.cost.route.amt.pipeline_malaysia, finance.unit.cost.plant_gate.amt, frame.project.hurdle.pct.floor</t>
        </is>
      </c>
    </row>
    <row r="127">
      <c r="A127" s="5" t="inlineStr">
        <is>
          <t>risk.route.tariff.amt.thailand_gate</t>
        </is>
      </c>
      <c r="B127" s="6" t="n">
        <v>1.5</v>
      </c>
      <c r="C127" t="inlineStr">
        <is>
          <t>USD/MMBtu</t>
        </is>
      </c>
      <c r="D127" t="inlineStr">
        <is>
          <t>depends_on=finance.unit.cost.route.amt.pipeline_malaysia, finance.unit.cost.plant_gate.amt, frame.project.hurdle.pct</t>
        </is>
      </c>
    </row>
    <row r="128">
      <c r="A128" s="1" t="inlineStr">
        <is>
          <t>Stress case</t>
        </is>
      </c>
      <c r="B128" s="2" t="n"/>
      <c r="C128" s="2" t="n"/>
      <c r="D128" s="2" t="n"/>
    </row>
    <row r="129">
      <c r="A129" s="5" t="inlineStr">
        <is>
          <t>_risk.capital.stress.pct</t>
        </is>
      </c>
      <c r="B129" s="6" t="n">
        <v>0.3</v>
      </c>
      <c r="C129" t="inlineStr">
        <is>
          <t>fraction</t>
        </is>
      </c>
      <c r="D129" t="inlineStr">
        <is>
          <t>source=estimate; the brief requires a cost-stress case and names higher feedstock, capital and logistics without setting the size of each</t>
        </is>
      </c>
    </row>
    <row r="130">
      <c r="A130" s="5" t="inlineStr">
        <is>
          <t>_risk.feedstock.stress.pct</t>
        </is>
      </c>
      <c r="B130" s="6" t="n">
        <v>0.25</v>
      </c>
      <c r="C130" t="inlineStr">
        <is>
          <t>fraction</t>
        </is>
      </c>
      <c r="D130" t="inlineStr">
        <is>
          <t>source=estimate; the brief requires a cost-stress case naming higher feedstock without setting its size</t>
        </is>
      </c>
    </row>
    <row r="131">
      <c r="A131" s="5" t="inlineStr">
        <is>
          <t>_risk.route.stress.pct</t>
        </is>
      </c>
      <c r="B131" s="6" t="n">
        <v>0.3</v>
      </c>
      <c r="C131" t="inlineStr">
        <is>
          <t>fraction</t>
        </is>
      </c>
      <c r="D131" t="inlineStr">
        <is>
          <t>source=estimate; the same, for logistics</t>
        </is>
      </c>
    </row>
    <row r="132">
      <c r="A132" s="1" t="inlineStr">
        <is>
          <t>Upside: the carbon dioxide co-product</t>
        </is>
      </c>
      <c r="B132" s="2" t="n"/>
      <c r="C132" s="2" t="n"/>
      <c r="D132" s="2" t="n"/>
    </row>
    <row r="133">
      <c r="A133" s="5" t="inlineStr">
        <is>
          <t>_finance.carbon_dioxide.capital.ratio</t>
        </is>
      </c>
      <c r="B133" s="6" t="n">
        <v>0.6</v>
      </c>
      <c r="C133" t="inlineStr">
        <is>
          <t>ratio</t>
        </is>
      </c>
      <c r="D133" t="inlineStr">
        <is>
          <t>source=estimate; carbon dioxide liquefies at a far higher temperature than methane and needs no cryogenic containment, so its plant is taken here at a fraction of the biomethane liquefaction cost declared at _finance.liquefaction.capital.amt.reference</t>
        </is>
      </c>
    </row>
    <row r="134">
      <c r="A134" s="5" t="inlineStr">
        <is>
          <t>finance.carbon_dioxide.price.amt.for_hurdle</t>
        </is>
      </c>
      <c r="B134" s="6" t="n">
        <v>32</v>
      </c>
      <c r="C134" t="inlineStr">
        <is>
          <t>USD/t</t>
        </is>
      </c>
      <c r="D134" t="inlineStr">
        <is>
          <t>depends_on=finance.initiative.capital.amt.pipeline_co2_phase1, ops.carbon_dioxide.yield.rate, frame.project.hurdle.pct</t>
        </is>
      </c>
    </row>
    <row r="135">
      <c r="A135" s="1" t="inlineStr">
        <is>
          <t>Contract terms and sensitivity</t>
        </is>
      </c>
      <c r="B135" s="2" t="n"/>
      <c r="C135" s="2" t="n"/>
      <c r="D135" s="2" t="n"/>
    </row>
    <row r="136">
      <c r="A136" s="5" t="inlineStr">
        <is>
          <t>frame.offtake.take.pct</t>
        </is>
      </c>
      <c r="B136" s="6" t="n">
        <v>0.6</v>
      </c>
      <c r="C136" t="inlineStr">
        <is>
          <t>fraction</t>
        </is>
      </c>
      <c r="D136" t="inlineStr">
        <is>
          <t>source=Salerno-Thai-Biomethane-Framing.md, "about 60% minimum take"</t>
        </is>
      </c>
    </row>
    <row r="137">
      <c r="A137" s="5" t="inlineStr">
        <is>
          <t>risk.offtake.take.pct.for_floor</t>
        </is>
      </c>
      <c r="B137" s="6" t="n">
        <v>0.733</v>
      </c>
      <c r="C137" t="inlineStr">
        <is>
          <t>fraction</t>
        </is>
      </c>
      <c r="D137" t="inlineStr">
        <is>
          <t>depends_on=finance.initiative.capital.amt.pipeline_phase1, finance.unit.cost.delivered.amt.pipeline, frame.project.hurdle.pct.floor</t>
        </is>
      </c>
    </row>
    <row r="138">
      <c r="A138" s="5" t="inlineStr">
        <is>
          <t>risk.offtake.take.pct.for_hurdle</t>
        </is>
      </c>
      <c r="B138" s="6" t="n">
        <v>0.886</v>
      </c>
      <c r="C138" t="inlineStr">
        <is>
          <t>fraction</t>
        </is>
      </c>
      <c r="D138" t="inlineStr">
        <is>
          <t>depends_on=finance.initiative.capital.amt.pipeline_phase1, finance.unit.cost.delivered.amt.pipeline, frame.project.hurdle.pct</t>
        </is>
      </c>
    </row>
    <row r="139">
      <c r="A139" s="5" t="inlineStr">
        <is>
          <t>frame.offtake.term.dur.short</t>
        </is>
      </c>
      <c r="B139" s="6" t="n">
        <v>8</v>
      </c>
      <c r="C139" t="inlineStr">
        <is>
          <t>years</t>
        </is>
      </c>
      <c r="D139" t="inlineStr">
        <is>
          <t>source=Salerno-Thai-Biomethane-Framing.md, "a term of 8+ years"</t>
        </is>
      </c>
    </row>
    <row r="140">
      <c r="A140" s="5" t="inlineStr">
        <is>
          <t>ops.biogas.methane.pct.measured</t>
        </is>
      </c>
      <c r="B140" s="6" t="n">
        <v>0.605</v>
      </c>
      <c r="C140" t="inlineStr">
        <is>
          <t>fraction</t>
        </is>
      </c>
      <c r="D140" t="inlineStr">
        <is>
          <t>source=https://pmc.ncbi.nlm.nih.gov/articles/PMC12272170/ (60.5% +/- 1.0 across 90 industrial records)</t>
        </is>
      </c>
    </row>
    <row r="141">
      <c r="A141" s="5" t="inlineStr">
        <is>
          <t>ops.upgrading.power.rate.high</t>
        </is>
      </c>
      <c r="B141" s="6" t="n">
        <v>0.3</v>
      </c>
      <c r="C141" t="inlineStr">
        <is>
          <t>kWh/Nm3 raw biogas</t>
        </is>
      </c>
      <c r="D141" t="inlineStr">
        <is>
          <t>source=https://ifactoryapp.com/industries/biogas-plant/biogas-upgrading-technology-comparison (top of the published 0.2 to 0.3 band)</t>
        </is>
      </c>
    </row>
    <row r="142">
      <c r="A142" s="5" t="inlineStr">
        <is>
          <t>finance.liquefaction.capital.rate.high</t>
        </is>
      </c>
      <c r="B142" s="6" t="n">
        <v>1600</v>
      </c>
      <c r="C142" t="inlineStr">
        <is>
          <t>USD/tpa</t>
        </is>
      </c>
      <c r="D142" t="inlineStr">
        <is>
          <t>source=https://www.mdpi.com/2076-3417/10/15/5391 (top of the published 200 to 1,600 USD/tpa band for small-scale liquefaction)</t>
        </is>
      </c>
    </row>
    <row r="143">
      <c r="A143" s="1" t="inlineStr">
        <is>
          <t>Volume and configuration sensitivity</t>
        </is>
      </c>
      <c r="B143" s="2" t="n"/>
      <c r="C143" s="2" t="n"/>
      <c r="D143" s="2" t="n"/>
    </row>
    <row r="144">
      <c r="A144" s="5" t="inlineStr">
        <is>
          <t>ops.biogas.yield.ratio.deviation</t>
        </is>
      </c>
      <c r="B144" s="6" t="n">
        <v>6.6</v>
      </c>
      <c r="C144" t="inlineStr">
        <is>
          <t>Nm3 biogas/m3 POME</t>
        </is>
      </c>
      <c r="D144" t="inlineStr">
        <is>
          <t>source=https://pmc.ncbi.nlm.nih.gov/articles/PMC12272170/ (25.7 +/- 6.6 across 90 industrial records)</t>
        </is>
      </c>
    </row>
    <row r="145">
      <c r="A145" s="5" t="inlineStr">
        <is>
          <t>risk.unit.price.amt.floor_unclustered</t>
        </is>
      </c>
      <c r="B145" s="6" t="n">
        <v>20.75</v>
      </c>
      <c r="C145" t="inlineStr">
        <is>
          <t>USD/MMBtu</t>
        </is>
      </c>
      <c r="D145" t="inlineStr">
        <is>
          <t>depends_on=risk.initiative.capital.amt.unclustered, risk.unit.cost.delivered.amt.unclustered, frame.project.hurdle.pct</t>
        </is>
      </c>
    </row>
    <row r="146">
      <c r="A146" s="1" t="inlineStr">
        <is>
          <t>The Salerno-level return</t>
        </is>
      </c>
      <c r="B146" s="2" t="n"/>
      <c r="C146" s="2" t="n"/>
      <c r="D146" s="2" t="n"/>
    </row>
    <row r="147">
      <c r="A147" s="5" t="inlineStr">
        <is>
          <t>frame.salerno.stake.pct</t>
        </is>
      </c>
      <c r="B147" s="6" t="n">
        <v>0.275</v>
      </c>
      <c r="C147" t="inlineStr">
        <is>
          <t>fraction</t>
        </is>
      </c>
      <c r="D147" t="inlineStr">
        <is>
          <t>source=Salerno-Thai-Biomethane-Framing.md, "Salerno directly about 25-30%"; midpoint taken</t>
        </is>
      </c>
    </row>
    <row r="148">
      <c r="A148" s="5" t="inlineStr">
        <is>
          <t>frame.salerno.profit.amt.target</t>
        </is>
      </c>
      <c r="B148" s="6" t="n">
        <v>10</v>
      </c>
      <c r="C148" t="inlineStr">
        <is>
          <t>USD M/yr</t>
        </is>
      </c>
      <c r="D148" t="inlineStr">
        <is>
          <t>source=Salerno-Thai-Biomethane-Framing.md, "&gt;=US$10M/year at target scale"</t>
        </is>
      </c>
    </row>
    <row r="149">
      <c r="A149" s="5" t="inlineStr">
        <is>
          <t>finance.initiative.profit.amt.marine_full</t>
        </is>
      </c>
      <c r="B149" s="6" t="n">
        <v>-1.57</v>
      </c>
      <c r="C149" t="inlineStr">
        <is>
          <t>USD M/yr</t>
        </is>
      </c>
      <c r="D149" t="inlineStr">
        <is>
          <t>depends_on=finance.unit.cost.delivered.amt.marine, finance.initiative.capital.amt.marine_full, frame.hub.capacity.rate.full</t>
        </is>
      </c>
    </row>
    <row r="150">
      <c r="A150" s="5" t="inlineStr">
        <is>
          <t>finance.initiative.profit.amt.pipeline_full</t>
        </is>
      </c>
      <c r="B150" s="6" t="n">
        <v>8.73</v>
      </c>
      <c r="C150" t="inlineStr">
        <is>
          <t>USD M/yr</t>
        </is>
      </c>
      <c r="D150" t="inlineStr">
        <is>
          <t>depends_on=finance.unit.cost.delivered.amt.pipeline, finance.initiative.capital.amt.pipeline_full, frame.hub.capacity.rate.full</t>
        </is>
      </c>
    </row>
    <row r="151">
      <c r="A151" s="5" t="inlineStr">
        <is>
          <t>_frame.salerno.fee.pct</t>
        </is>
      </c>
      <c r="B151" s="6" t="n">
        <v>0.06</v>
      </c>
      <c r="C151" t="inlineStr">
        <is>
          <t>fraction</t>
        </is>
      </c>
      <c r="D151" t="inlineStr">
        <is>
          <t>source=Financial_Model_Biomethane_ExPlant_DCF_rev01.xlsx, ASSUMPTION B38</t>
        </is>
      </c>
    </row>
    <row r="152">
      <c r="A152" s="5" t="inlineStr">
        <is>
          <t>_frame.salerno.om.pct</t>
        </is>
      </c>
      <c r="B152" s="6" t="n">
        <v>0.15</v>
      </c>
      <c r="C152" t="inlineStr">
        <is>
          <t>fraction</t>
        </is>
      </c>
      <c r="D152" t="inlineStr">
        <is>
          <t>source=estimate; an operations and maintenance contractor margin on the service revenue, at the low end of what a long-term availability contract typically carries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94"/>
  <sheetViews>
    <sheetView workbookViewId="0">
      <pane ySplit="3" topLeftCell="A4" activePane="bottomLeft" state="frozen"/>
      <selection pane="bottomLeft" activeCell="A1" sqref="A1"/>
    </sheetView>
  </sheetViews>
  <sheetFormatPr baseColWidth="8" defaultRowHeight="15"/>
  <cols>
    <col width="46" customWidth="1" min="1" max="1"/>
    <col width="12" customWidth="1" min="2" max="2"/>
    <col width="23" customWidth="1" min="3" max="3"/>
    <col width="9" customWidth="1" min="4" max="4"/>
    <col width="19" customWidth="1" min="5" max="5"/>
    <col width="23" customWidth="1" min="6" max="6"/>
    <col hidden="1" width="19" customWidth="1" min="7" max="7"/>
    <col hidden="1" width="12" customWidth="1" min="8" max="8"/>
    <col width="30" customWidth="1" min="9" max="9"/>
    <col width="92" customWidth="1" min="10" max="10"/>
  </cols>
  <sheetData>
    <row r="1">
      <c r="A1" s="1" t="inlineStr">
        <is>
          <t>Precision mode</t>
        </is>
      </c>
      <c r="B1" s="2" t="b">
        <v>0</v>
      </c>
      <c r="C1" s="2">
        <f>IF(full_precision,"FULL PRECISION - "&amp;TEXT(SUMPRODUCT(--(ABS(H4:H194)&gt;0.0000001)),"0")&amp;" figures differ from the memo. The Memo and vs memo columns are hidden; unhide G:H to see which.","AS PUBLISHED - every figure reproduces the memo, because the model rounds each figure as it declares it and carries the rounded value on. Set B1 to TRUE to compute from unrounded inputs instead.")</f>
        <v/>
      </c>
      <c r="D1" s="2" t="n"/>
      <c r="E1" s="2" t="n"/>
      <c r="F1" s="2" t="n"/>
      <c r="G1" s="2" t="n"/>
      <c r="H1" s="2" t="n"/>
      <c r="I1" s="2" t="n"/>
      <c r="J1" s="2" t="n"/>
    </row>
    <row r="3">
      <c r="A3" s="3" t="inlineStr">
        <is>
          <t>Key</t>
        </is>
      </c>
      <c r="B3" s="3" t="inlineStr">
        <is>
          <t>Unit</t>
        </is>
      </c>
      <c r="C3" s="4" t="inlineStr">
        <is>
          <t>Unrounded</t>
        </is>
      </c>
      <c r="D3" s="4" t="inlineStr">
        <is>
          <t>Decimals</t>
        </is>
      </c>
      <c r="E3" s="4" t="inlineStr">
        <is>
          <t>Rounded</t>
        </is>
      </c>
      <c r="F3" s="4" t="inlineStr">
        <is>
          <t>Used</t>
        </is>
      </c>
      <c r="G3" s="4" t="inlineStr">
        <is>
          <t>Memo</t>
        </is>
      </c>
      <c r="H3" s="4" t="inlineStr">
        <is>
          <t>vs memo</t>
        </is>
      </c>
      <c r="I3" s="3" t="inlineStr">
        <is>
          <t>Recalculates</t>
        </is>
      </c>
      <c r="J3" s="3" t="inlineStr">
        <is>
          <t>Derivation</t>
        </is>
      </c>
    </row>
    <row r="4">
      <c r="A4" s="1" t="inlineStr">
        <is>
          <t>Constants and conversions</t>
        </is>
      </c>
      <c r="B4" s="2" t="n"/>
      <c r="C4" s="2" t="n"/>
      <c r="D4" s="2" t="n"/>
      <c r="E4" s="2" t="n"/>
      <c r="F4" s="2" t="n"/>
      <c r="G4" s="2" t="n"/>
      <c r="H4" s="2" t="n"/>
      <c r="I4" s="2" t="n"/>
      <c r="J4" s="2" t="n"/>
    </row>
    <row r="5">
      <c r="A5" s="5" t="inlineStr">
        <is>
          <t>ops.methane.energy.rate.mass</t>
        </is>
      </c>
      <c r="B5" t="inlineStr">
        <is>
          <t>MMBtu/t</t>
        </is>
      </c>
      <c r="C5">
        <f>1000 / _ops.methane.density.rate * _ops.methane.energy.rate</f>
        <v/>
      </c>
      <c r="D5" t="n">
        <v>2</v>
      </c>
      <c r="E5" s="7">
        <f>ROUND(C5,D5)</f>
        <v/>
      </c>
      <c r="F5">
        <f>IF(full_precision,C5,E5)</f>
        <v/>
      </c>
      <c r="G5" s="7" t="n">
        <v>53.01</v>
      </c>
      <c r="H5" s="8">
        <f>E5-G5</f>
        <v/>
      </c>
      <c r="I5" t="inlineStr">
        <is>
          <t>yes</t>
        </is>
      </c>
      <c r="J5" s="5" t="inlineStr">
        <is>
          <t>1000 / _ops.methane.density.rate * _ops.methane.energy.rate</t>
        </is>
      </c>
    </row>
    <row r="6">
      <c r="A6" s="5" t="inlineStr">
        <is>
          <t>ops.biomethane.density.rate</t>
        </is>
      </c>
      <c r="B6" t="inlineStr">
        <is>
          <t>kg/Nm3</t>
        </is>
      </c>
      <c r="C6">
        <f>_ops.biomethane.purity.pct * _ops.methane.density.rate + (1 - _ops.biomethane.purity.pct) * _ops.carbon_dioxide.density.rate</f>
        <v/>
      </c>
      <c r="D6" t="n">
        <v>4</v>
      </c>
      <c r="E6" s="7">
        <f>ROUND(C6,D6)</f>
        <v/>
      </c>
      <c r="F6">
        <f>IF(full_precision,C6,E6)</f>
        <v/>
      </c>
      <c r="G6" s="7" t="n">
        <v>0.7798</v>
      </c>
      <c r="H6" s="8">
        <f>E6-G6</f>
        <v/>
      </c>
      <c r="I6" t="inlineStr">
        <is>
          <t>yes</t>
        </is>
      </c>
      <c r="J6" s="5" t="inlineStr">
        <is>
          <t>_ops.biomethane.purity.pct * _ops.methane.density.rate + (1 - _ops.biomethane.purity.pct) * _ops.carbon_dioxide.density.rate</t>
        </is>
      </c>
    </row>
    <row r="7">
      <c r="A7" s="5" t="inlineStr">
        <is>
          <t>ops.biomethane.energy.rate.mass</t>
        </is>
      </c>
      <c r="B7" t="inlineStr">
        <is>
          <t>MMBtu/t</t>
        </is>
      </c>
      <c r="C7">
        <f>_ops.biomethane.purity.pct * _ops.methane.energy.rate * 1000 / ops.biomethane.density.rate</f>
        <v/>
      </c>
      <c r="D7" t="n">
        <v>2</v>
      </c>
      <c r="E7" s="7">
        <f>ROUND(C7,D7)</f>
        <v/>
      </c>
      <c r="F7">
        <f>IF(full_precision,C7,E7)</f>
        <v/>
      </c>
      <c r="G7" s="7" t="n">
        <v>46.29</v>
      </c>
      <c r="H7" s="8">
        <f>E7-G7</f>
        <v/>
      </c>
      <c r="I7" t="inlineStr">
        <is>
          <t>yes</t>
        </is>
      </c>
      <c r="J7" s="5" t="inlineStr">
        <is>
          <t>_ops.biomethane.purity.pct * _ops.methane.energy.rate * 1000 / ops.biomethane.density.rate</t>
        </is>
      </c>
    </row>
    <row r="8">
      <c r="A8" s="1" t="inlineStr">
        <is>
          <t>The resource</t>
        </is>
      </c>
      <c r="B8" s="2" t="n"/>
      <c r="C8" s="2" t="n"/>
      <c r="D8" s="2" t="n"/>
      <c r="E8" s="2" t="n"/>
      <c r="F8" s="2" t="n"/>
      <c r="G8" s="2" t="n"/>
      <c r="H8" s="2" t="n"/>
      <c r="I8" s="2" t="n"/>
      <c r="J8" s="2" t="n"/>
    </row>
    <row r="9">
      <c r="A9" s="5" t="inlineStr">
        <is>
          <t>market.feedstock.volume.rate.south</t>
        </is>
      </c>
      <c r="B9" t="inlineStr">
        <is>
          <t>Mt FFB/yr</t>
        </is>
      </c>
      <c r="C9">
        <f>market.feedstock.volume.rate.national * market.plantation.pct.south</f>
        <v/>
      </c>
      <c r="D9" t="n">
        <v>2</v>
      </c>
      <c r="E9" s="7">
        <f>ROUND(C9,D9)</f>
        <v/>
      </c>
      <c r="F9">
        <f>IF(full_precision,C9,E9)</f>
        <v/>
      </c>
      <c r="G9" s="7" t="n">
        <v>15.98</v>
      </c>
      <c r="H9" s="8">
        <f>E9-G9</f>
        <v/>
      </c>
      <c r="I9" t="inlineStr">
        <is>
          <t>yes</t>
        </is>
      </c>
      <c r="J9" s="5" t="inlineStr">
        <is>
          <t>market.feedstock.volume.rate.national * market.plantation.pct.south</t>
        </is>
      </c>
    </row>
    <row r="10">
      <c r="A10" s="5" t="inlineStr">
        <is>
          <t>market.mill.throughput.rate</t>
        </is>
      </c>
      <c r="B10" t="inlineStr">
        <is>
          <t>t FFB/yr</t>
        </is>
      </c>
      <c r="C10">
        <f>market.feedstock.volume.rate.south * 1000000 / market.mill.cnt.south</f>
        <v/>
      </c>
      <c r="D10" t="n">
        <v>0</v>
      </c>
      <c r="E10" s="7">
        <f>ROUND(C10,D10)</f>
        <v/>
      </c>
      <c r="F10">
        <f>IF(full_precision,C10,E10)</f>
        <v/>
      </c>
      <c r="G10" s="7" t="n">
        <v>228286</v>
      </c>
      <c r="H10" s="8">
        <f>E10-G10</f>
        <v/>
      </c>
      <c r="I10" t="inlineStr">
        <is>
          <t>yes</t>
        </is>
      </c>
      <c r="J10" s="5" t="inlineStr">
        <is>
          <t>market.feedstock.volume.rate.south * 1000000 / market.mill.cnt.south</t>
        </is>
      </c>
    </row>
    <row r="11">
      <c r="A11" s="5" t="inlineStr">
        <is>
          <t>ops.mill.biogas.rate.annual</t>
        </is>
      </c>
      <c r="B11" t="inlineStr">
        <is>
          <t>Nm3/yr</t>
        </is>
      </c>
      <c r="C11">
        <f>market.mill.throughput.rate * _ops.effluent.yield.ratio * ops.biogas.yield.ratio</f>
        <v/>
      </c>
      <c r="D11" t="n">
        <v>0</v>
      </c>
      <c r="E11" s="7">
        <f>ROUND(C11,D11)</f>
        <v/>
      </c>
      <c r="F11">
        <f>IF(full_precision,C11,E11)</f>
        <v/>
      </c>
      <c r="G11" s="7" t="n">
        <v>4106865</v>
      </c>
      <c r="H11" s="8">
        <f>E11-G11</f>
        <v/>
      </c>
      <c r="I11" t="inlineStr">
        <is>
          <t>yes</t>
        </is>
      </c>
      <c r="J11" s="5" t="inlineStr">
        <is>
          <t>market.mill.throughput.rate * _ops.effluent.yield.ratio * ops.biogas.yield.ratio</t>
        </is>
      </c>
    </row>
    <row r="12">
      <c r="A12" s="5" t="inlineStr">
        <is>
          <t>ops.mill.biogas.rate</t>
        </is>
      </c>
      <c r="B12" t="inlineStr">
        <is>
          <t>Nm3/day</t>
        </is>
      </c>
      <c r="C12">
        <f>ops.mill.biogas.rate.annual / 365</f>
        <v/>
      </c>
      <c r="D12" t="n">
        <v>0</v>
      </c>
      <c r="E12" s="7">
        <f>ROUND(C12,D12)</f>
        <v/>
      </c>
      <c r="F12">
        <f>IF(full_precision,C12,E12)</f>
        <v/>
      </c>
      <c r="G12" s="7" t="n">
        <v>11252</v>
      </c>
      <c r="H12" s="8">
        <f>E12-G12</f>
        <v/>
      </c>
      <c r="I12" t="inlineStr">
        <is>
          <t>yes</t>
        </is>
      </c>
      <c r="J12" s="5" t="inlineStr">
        <is>
          <t>ops.mill.biogas.rate.annual / 365</t>
        </is>
      </c>
    </row>
    <row r="13">
      <c r="A13" s="5" t="inlineStr">
        <is>
          <t>ops.mill.biogas.ratio.client</t>
        </is>
      </c>
      <c r="B13" t="inlineStr">
        <is>
          <t>ratio</t>
        </is>
      </c>
      <c r="C13">
        <f>ops.mill.biogas.rate / ops.mill.biogas.rate.client</f>
        <v/>
      </c>
      <c r="D13" t="n">
        <v>3</v>
      </c>
      <c r="E13" s="7">
        <f>ROUND(C13,D13)</f>
        <v/>
      </c>
      <c r="F13">
        <f>IF(full_precision,C13,E13)</f>
        <v/>
      </c>
      <c r="G13" s="7" t="n">
        <v>0.375</v>
      </c>
      <c r="H13" s="8">
        <f>E13-G13</f>
        <v/>
      </c>
      <c r="I13" t="inlineStr">
        <is>
          <t>yes</t>
        </is>
      </c>
      <c r="J13" s="5" t="inlineStr">
        <is>
          <t>ops.mill.biogas.rate / ops.mill.biogas.rate.client</t>
        </is>
      </c>
    </row>
    <row r="14">
      <c r="A14" s="5" t="inlineStr">
        <is>
          <t>market.mill.cnt.with_digester</t>
        </is>
      </c>
      <c r="B14" t="inlineStr">
        <is>
          <t>mills</t>
        </is>
      </c>
      <c r="C14">
        <f>market.mill.cnt.south * market.mill.pct.with_digester</f>
        <v/>
      </c>
      <c r="D14" t="n">
        <v>0</v>
      </c>
      <c r="E14" s="7">
        <f>ROUND(C14,D14)</f>
        <v/>
      </c>
      <c r="F14">
        <f>IF(full_precision,C14,E14)</f>
        <v/>
      </c>
      <c r="G14" s="7" t="n">
        <v>42</v>
      </c>
      <c r="H14" s="8">
        <f>E14-G14</f>
        <v/>
      </c>
      <c r="I14" t="inlineStr">
        <is>
          <t>yes</t>
        </is>
      </c>
      <c r="J14" s="5" t="inlineStr">
        <is>
          <t>market.mill.cnt.south * market.mill.pct.with_digester</t>
        </is>
      </c>
    </row>
    <row r="15">
      <c r="A15" s="5" t="inlineStr">
        <is>
          <t>ops.mill.biomethane.rate</t>
        </is>
      </c>
      <c r="B15" t="inlineStr">
        <is>
          <t>Nm3/day</t>
        </is>
      </c>
      <c r="C15">
        <f>ops.mill.biogas.rate * _ops.biogas.methane.pct * _ops.upgrading.recovery.pct / _ops.biomethane.purity.pct</f>
        <v/>
      </c>
      <c r="D15" t="n">
        <v>0</v>
      </c>
      <c r="E15" s="7">
        <f>ROUND(C15,D15)</f>
        <v/>
      </c>
      <c r="F15">
        <f>IF(full_precision,C15,E15)</f>
        <v/>
      </c>
      <c r="G15" s="7" t="n">
        <v>6254</v>
      </c>
      <c r="H15" s="8">
        <f>E15-G15</f>
        <v/>
      </c>
      <c r="I15" t="inlineStr">
        <is>
          <t>yes</t>
        </is>
      </c>
      <c r="J15" s="5" t="inlineStr">
        <is>
          <t>ops.mill.biogas.rate * _ops.biogas.methane.pct * _ops.upgrading.recovery.pct / _ops.biomethane.purity.pct</t>
        </is>
      </c>
    </row>
    <row r="16">
      <c r="A16" s="5" t="inlineStr">
        <is>
          <t>ops.mill.biomethane.rate.mass</t>
        </is>
      </c>
      <c r="B16" t="inlineStr">
        <is>
          <t>t/day</t>
        </is>
      </c>
      <c r="C16">
        <f>ops.mill.biomethane.rate * ops.biomethane.density.rate / 1000</f>
        <v/>
      </c>
      <c r="D16" t="n">
        <v>2</v>
      </c>
      <c r="E16" s="7">
        <f>ROUND(C16,D16)</f>
        <v/>
      </c>
      <c r="F16">
        <f>IF(full_precision,C16,E16)</f>
        <v/>
      </c>
      <c r="G16" s="7" t="n">
        <v>4.88</v>
      </c>
      <c r="H16" s="8">
        <f>E16-G16</f>
        <v/>
      </c>
      <c r="I16" t="inlineStr">
        <is>
          <t>yes</t>
        </is>
      </c>
      <c r="J16" s="5" t="inlineStr">
        <is>
          <t>ops.mill.biomethane.rate * ops.biomethane.density.rate / 1000</t>
        </is>
      </c>
    </row>
    <row r="17">
      <c r="A17" s="5" t="inlineStr">
        <is>
          <t>ops.mill.energy.rate</t>
        </is>
      </c>
      <c r="B17" t="inlineStr">
        <is>
          <t>MMBtu/day</t>
        </is>
      </c>
      <c r="C17">
        <f>ops.mill.biomethane.rate * _ops.biomethane.purity.pct * _ops.methane.energy.rate</f>
        <v/>
      </c>
      <c r="D17" t="n">
        <v>1</v>
      </c>
      <c r="E17" s="7">
        <f>ROUND(C17,D17)</f>
        <v/>
      </c>
      <c r="F17">
        <f>IF(full_precision,C17,E17)</f>
        <v/>
      </c>
      <c r="G17" s="7" t="n">
        <v>225.8</v>
      </c>
      <c r="H17" s="8">
        <f>E17-G17</f>
        <v/>
      </c>
      <c r="I17" t="inlineStr">
        <is>
          <t>yes</t>
        </is>
      </c>
      <c r="J17" s="5" t="inlineStr">
        <is>
          <t>ops.mill.biomethane.rate * _ops.biomethane.purity.pct * _ops.methane.energy.rate</t>
        </is>
      </c>
    </row>
    <row r="18">
      <c r="A18" s="1" t="inlineStr">
        <is>
          <t>The Singapore demand</t>
        </is>
      </c>
      <c r="B18" s="2" t="n"/>
      <c r="C18" s="2" t="n"/>
      <c r="D18" s="2" t="n"/>
      <c r="E18" s="2" t="n"/>
      <c r="F18" s="2" t="n"/>
      <c r="G18" s="2" t="n"/>
      <c r="H18" s="2" t="n"/>
      <c r="I18" s="2" t="n"/>
      <c r="J18" s="2" t="n"/>
    </row>
    <row r="19">
      <c r="A19" s="5" t="inlineStr">
        <is>
          <t>_demand.generation.heat.rate</t>
        </is>
      </c>
      <c r="B19" t="inlineStr">
        <is>
          <t>Btu/kWh</t>
        </is>
      </c>
      <c r="C19">
        <f>_ops.energy.kwh.rate / _ops.energy.conversion.ratio * 1000</f>
        <v/>
      </c>
      <c r="D19" t="n">
        <v>2</v>
      </c>
      <c r="E19" s="7">
        <f>ROUND(C19,D19)</f>
        <v/>
      </c>
      <c r="F19">
        <f>IF(full_precision,C19,E19)</f>
        <v/>
      </c>
      <c r="G19" s="7" t="n">
        <v>3412.14</v>
      </c>
      <c r="H19" s="8">
        <f>E19-G19</f>
        <v/>
      </c>
      <c r="I19" t="inlineStr">
        <is>
          <t>yes</t>
        </is>
      </c>
      <c r="J19" s="5" t="inlineStr">
        <is>
          <t>_ops.energy.kwh.rate / _ops.energy.conversion.ratio * 1000</t>
        </is>
      </c>
    </row>
    <row r="20">
      <c r="A20" s="5" t="inlineStr">
        <is>
          <t>demand.sandbox.energy.rate</t>
        </is>
      </c>
      <c r="B20" t="inlineStr">
        <is>
          <t>MMBtu/day</t>
        </is>
      </c>
      <c r="C20">
        <f>demand.sandbox.capacity.rate * 1000 * 24 * _demand.generation.utilization.pct * (_demand.generation.heat.rate / _demand.generation.efficiency.pct) / 1000000</f>
        <v/>
      </c>
      <c r="D20" t="n">
        <v>0</v>
      </c>
      <c r="E20" s="7">
        <f>ROUND(C20,D20)</f>
        <v/>
      </c>
      <c r="F20">
        <f>IF(full_precision,C20,E20)</f>
        <v/>
      </c>
      <c r="G20" s="7" t="n">
        <v>39401</v>
      </c>
      <c r="H20" s="8">
        <f>E20-G20</f>
        <v/>
      </c>
      <c r="I20" t="inlineStr">
        <is>
          <t>yes</t>
        </is>
      </c>
      <c r="J20" s="5" t="inlineStr">
        <is>
          <t>demand.sandbox.capacity.rate * 1000 * 24 * _demand.generation.utilization.pct * (_demand.generation.heat.rate / _demand.generation.efficiency.pct) / 1000000</t>
        </is>
      </c>
    </row>
    <row r="21">
      <c r="A21" s="5" t="inlineStr">
        <is>
          <t>demand.sandbox.volume.rate.mass</t>
        </is>
      </c>
      <c r="B21" t="inlineStr">
        <is>
          <t>t/day</t>
        </is>
      </c>
      <c r="C21">
        <f>demand.sandbox.energy.rate / ops.biomethane.energy.rate.mass</f>
        <v/>
      </c>
      <c r="D21" t="n">
        <v>0</v>
      </c>
      <c r="E21" s="7">
        <f>ROUND(C21,D21)</f>
        <v/>
      </c>
      <c r="F21">
        <f>IF(full_precision,C21,E21)</f>
        <v/>
      </c>
      <c r="G21" s="7" t="n">
        <v>851</v>
      </c>
      <c r="H21" s="8">
        <f>E21-G21</f>
        <v/>
      </c>
      <c r="I21" t="inlineStr">
        <is>
          <t>yes</t>
        </is>
      </c>
      <c r="J21" s="5" t="inlineStr">
        <is>
          <t>demand.sandbox.energy.rate / ops.biomethane.energy.rate.mass</t>
        </is>
      </c>
    </row>
    <row r="22">
      <c r="A22" s="5" t="inlineStr">
        <is>
          <t>demand.sandbox.quota.dur</t>
        </is>
      </c>
      <c r="B22" t="inlineStr">
        <is>
          <t>years</t>
        </is>
      </c>
      <c r="C22">
        <f>demand.sandbox.volume.cnt / (demand.sandbox.energy.rate * 365)</f>
        <v/>
      </c>
      <c r="D22" t="n">
        <v>2</v>
      </c>
      <c r="E22" s="7">
        <f>ROUND(C22,D22)</f>
        <v/>
      </c>
      <c r="F22">
        <f>IF(full_precision,C22,E22)</f>
        <v/>
      </c>
      <c r="G22" s="7" t="n">
        <v>1.25</v>
      </c>
      <c r="H22" s="8">
        <f>E22-G22</f>
        <v/>
      </c>
      <c r="I22" t="inlineStr">
        <is>
          <t>yes</t>
        </is>
      </c>
      <c r="J22" s="5" t="inlineStr">
        <is>
          <t>demand.sandbox.volume.cnt / (demand.sandbox.energy.rate * 365)</t>
        </is>
      </c>
    </row>
    <row r="23">
      <c r="A23" s="5" t="inlineStr">
        <is>
          <t>demand.sandbox.energy.rate.over_term</t>
        </is>
      </c>
      <c r="B23" t="inlineStr">
        <is>
          <t>MMBtu/day</t>
        </is>
      </c>
      <c r="C23">
        <f>demand.sandbox.volume.cnt / (frame.offtake.term.dur * 365)</f>
        <v/>
      </c>
      <c r="D23" t="n">
        <v>0</v>
      </c>
      <c r="E23" s="7">
        <f>ROUND(C23,D23)</f>
        <v/>
      </c>
      <c r="F23">
        <f>IF(full_precision,C23,E23)</f>
        <v/>
      </c>
      <c r="G23" s="7" t="n">
        <v>4932</v>
      </c>
      <c r="H23" s="8">
        <f>E23-G23</f>
        <v/>
      </c>
      <c r="I23" t="inlineStr">
        <is>
          <t>yes</t>
        </is>
      </c>
      <c r="J23" s="5" t="inlineStr">
        <is>
          <t>demand.sandbox.volume.cnt / (frame.offtake.term.dur * 365)</t>
        </is>
      </c>
    </row>
    <row r="24">
      <c r="A24" s="5" t="inlineStr">
        <is>
          <t>demand.sandbox.volume.rate.mass.over_term</t>
        </is>
      </c>
      <c r="B24" t="inlineStr">
        <is>
          <t>t/day</t>
        </is>
      </c>
      <c r="C24">
        <f>demand.sandbox.energy.rate.over_term / ops.biomethane.energy.rate.mass</f>
        <v/>
      </c>
      <c r="D24" t="n">
        <v>0</v>
      </c>
      <c r="E24" s="7">
        <f>ROUND(C24,D24)</f>
        <v/>
      </c>
      <c r="F24">
        <f>IF(full_precision,C24,E24)</f>
        <v/>
      </c>
      <c r="G24" s="7" t="n">
        <v>107</v>
      </c>
      <c r="H24" s="8">
        <f>E24-G24</f>
        <v/>
      </c>
      <c r="I24" t="inlineStr">
        <is>
          <t>yes</t>
        </is>
      </c>
      <c r="J24" s="5" t="inlineStr">
        <is>
          <t>demand.sandbox.energy.rate.over_term / ops.biomethane.energy.rate.mass</t>
        </is>
      </c>
    </row>
    <row r="25">
      <c r="A25" s="5" t="inlineStr">
        <is>
          <t>demand.bunker.volume.rate.lng_daily</t>
        </is>
      </c>
      <c r="B25" t="inlineStr">
        <is>
          <t>t/day</t>
        </is>
      </c>
      <c r="C25">
        <f>demand.bunker.volume.rate.lng / 365</f>
        <v/>
      </c>
      <c r="D25" t="n">
        <v>0</v>
      </c>
      <c r="E25" s="7">
        <f>ROUND(C25,D25)</f>
        <v/>
      </c>
      <c r="F25">
        <f>IF(full_precision,C25,E25)</f>
        <v/>
      </c>
      <c r="G25" s="7" t="n">
        <v>1565</v>
      </c>
      <c r="H25" s="8">
        <f>E25-G25</f>
        <v/>
      </c>
      <c r="I25" t="inlineStr">
        <is>
          <t>yes</t>
        </is>
      </c>
      <c r="J25" s="5" t="inlineStr">
        <is>
          <t>demand.bunker.volume.rate.lng / 365</t>
        </is>
      </c>
    </row>
    <row r="26">
      <c r="A26" s="5" t="inlineStr">
        <is>
          <t>market.competitor.energy.rate.straits</t>
        </is>
      </c>
      <c r="B26" t="inlineStr">
        <is>
          <t>MMBtu/day</t>
        </is>
      </c>
      <c r="C26">
        <f>market.competitor.volume.rate.straits * ops.biomethane.energy.rate.mass / 365</f>
        <v/>
      </c>
      <c r="D26" t="n">
        <v>0</v>
      </c>
      <c r="E26" s="7">
        <f>ROUND(C26,D26)</f>
        <v/>
      </c>
      <c r="F26">
        <f>IF(full_precision,C26,E26)</f>
        <v/>
      </c>
      <c r="G26" s="7" t="n">
        <v>31705</v>
      </c>
      <c r="H26" s="8">
        <f>E26-G26</f>
        <v/>
      </c>
      <c r="I26" t="inlineStr">
        <is>
          <t>yes</t>
        </is>
      </c>
      <c r="J26" s="5" t="inlineStr">
        <is>
          <t>market.competitor.volume.rate.straits * ops.biomethane.energy.rate.mass / 365</t>
        </is>
      </c>
    </row>
    <row r="27">
      <c r="A27" s="5" t="inlineStr">
        <is>
          <t>market.competitor.pct.straits</t>
        </is>
      </c>
      <c r="B27" t="inlineStr">
        <is>
          <t>fraction</t>
        </is>
      </c>
      <c r="C27">
        <f>market.competitor.energy.rate.straits / demand.sandbox.energy.rate</f>
        <v/>
      </c>
      <c r="D27" t="n">
        <v>3</v>
      </c>
      <c r="E27" s="7">
        <f>ROUND(C27,D27)</f>
        <v/>
      </c>
      <c r="F27">
        <f>IF(full_precision,C27,E27)</f>
        <v/>
      </c>
      <c r="G27" s="7" t="n">
        <v>0.805</v>
      </c>
      <c r="H27" s="8">
        <f>E27-G27</f>
        <v/>
      </c>
      <c r="I27" t="inlineStr">
        <is>
          <t>yes</t>
        </is>
      </c>
      <c r="J27" s="5" t="inlineStr">
        <is>
          <t>market.competitor.energy.rate.straits / demand.sandbox.energy.rate</t>
        </is>
      </c>
    </row>
    <row r="28">
      <c r="A28" s="1" t="inlineStr">
        <is>
          <t>Scale and mill count</t>
        </is>
      </c>
      <c r="B28" s="2" t="n"/>
      <c r="C28" s="2" t="n"/>
      <c r="D28" s="2" t="n"/>
      <c r="E28" s="2" t="n"/>
      <c r="F28" s="2" t="n"/>
      <c r="G28" s="2" t="n"/>
      <c r="H28" s="2" t="n"/>
      <c r="I28" s="2" t="n"/>
      <c r="J28" s="2" t="n"/>
    </row>
    <row r="29">
      <c r="A29" s="5" t="inlineStr">
        <is>
          <t>demand.hub.pct.of_quota</t>
        </is>
      </c>
      <c r="B29" t="inlineStr">
        <is>
          <t>fraction</t>
        </is>
      </c>
      <c r="C29">
        <f>frame.hub.capacity.rate.full / demand.sandbox.volume.rate.mass.over_term</f>
        <v/>
      </c>
      <c r="D29" t="n">
        <v>3</v>
      </c>
      <c r="E29" s="7">
        <f>ROUND(C29,D29)</f>
        <v/>
      </c>
      <c r="F29">
        <f>IF(full_precision,C29,E29)</f>
        <v/>
      </c>
      <c r="G29" s="7" t="n">
        <v>1.869</v>
      </c>
      <c r="H29" s="8">
        <f>E29-G29</f>
        <v/>
      </c>
      <c r="I29" t="inlineStr">
        <is>
          <t>yes</t>
        </is>
      </c>
      <c r="J29" s="5" t="inlineStr">
        <is>
          <t>frame.hub.capacity.rate.full / demand.sandbox.volume.rate.mass.over_term</t>
        </is>
      </c>
    </row>
    <row r="30">
      <c r="A30" s="5" t="inlineStr">
        <is>
          <t>demand.hub.pct.of_capacity</t>
        </is>
      </c>
      <c r="B30" t="inlineStr">
        <is>
          <t>fraction</t>
        </is>
      </c>
      <c r="C30">
        <f>frame.hub.capacity.rate.full / demand.sandbox.volume.rate.mass</f>
        <v/>
      </c>
      <c r="D30" t="n">
        <v>3</v>
      </c>
      <c r="E30" s="7">
        <f>ROUND(C30,D30)</f>
        <v/>
      </c>
      <c r="F30">
        <f>IF(full_precision,C30,E30)</f>
        <v/>
      </c>
      <c r="G30" s="7" t="n">
        <v>0.235</v>
      </c>
      <c r="H30" s="8">
        <f>E30-G30</f>
        <v/>
      </c>
      <c r="I30" t="inlineStr">
        <is>
          <t>yes</t>
        </is>
      </c>
      <c r="J30" s="5" t="inlineStr">
        <is>
          <t>frame.hub.capacity.rate.full / demand.sandbox.volume.rate.mass</t>
        </is>
      </c>
    </row>
    <row r="31">
      <c r="A31" s="5" t="inlineStr">
        <is>
          <t>ops.mill.biomethane.volume.rate</t>
        </is>
      </c>
      <c r="B31" t="inlineStr">
        <is>
          <t>t/yr</t>
        </is>
      </c>
      <c r="C31">
        <f>ops.mill.biomethane.rate.mass * 365</f>
        <v/>
      </c>
      <c r="D31" t="n">
        <v>1</v>
      </c>
      <c r="E31" s="7">
        <f>ROUND(C31,D31)</f>
        <v/>
      </c>
      <c r="F31">
        <f>IF(full_precision,C31,E31)</f>
        <v/>
      </c>
      <c r="G31" s="7" t="n">
        <v>1781.2</v>
      </c>
      <c r="H31" s="8">
        <f>E31-G31</f>
        <v/>
      </c>
      <c r="I31" t="inlineStr">
        <is>
          <t>yes</t>
        </is>
      </c>
      <c r="J31" s="5" t="inlineStr">
        <is>
          <t>ops.mill.biomethane.rate.mass * 365</t>
        </is>
      </c>
    </row>
    <row r="32">
      <c r="A32" s="5" t="inlineStr">
        <is>
          <t>ops.hub.biomethane.volume.rate.phase1</t>
        </is>
      </c>
      <c r="B32" t="inlineStr">
        <is>
          <t>t/yr</t>
        </is>
      </c>
      <c r="C32">
        <f>frame.hub.capacity.rate.phase1 * _ops.plant.uptime.cnt * _ops.feedstock.availability.pct</f>
        <v/>
      </c>
      <c r="D32" t="n">
        <v>0</v>
      </c>
      <c r="E32" s="7">
        <f>ROUND(C32,D32)</f>
        <v/>
      </c>
      <c r="F32">
        <f>IF(full_precision,C32,E32)</f>
        <v/>
      </c>
      <c r="G32" s="7" t="n">
        <v>28050</v>
      </c>
      <c r="H32" s="8">
        <f>E32-G32</f>
        <v/>
      </c>
      <c r="I32" t="inlineStr">
        <is>
          <t>yes</t>
        </is>
      </c>
      <c r="J32" s="5" t="inlineStr">
        <is>
          <t>frame.hub.capacity.rate.phase1 * _ops.plant.uptime.cnt * _ops.feedstock.availability.pct</t>
        </is>
      </c>
    </row>
    <row r="33">
      <c r="A33" s="5" t="inlineStr">
        <is>
          <t>ops.hub.biomethane.volume.rate.full</t>
        </is>
      </c>
      <c r="B33" t="inlineStr">
        <is>
          <t>t/yr</t>
        </is>
      </c>
      <c r="C33">
        <f>frame.hub.capacity.rate.full * _ops.plant.uptime.cnt * _ops.feedstock.availability.pct</f>
        <v/>
      </c>
      <c r="D33" t="n">
        <v>0</v>
      </c>
      <c r="E33" s="7">
        <f>ROUND(C33,D33)</f>
        <v/>
      </c>
      <c r="F33">
        <f>IF(full_precision,C33,E33)</f>
        <v/>
      </c>
      <c r="G33" s="7" t="n">
        <v>56100</v>
      </c>
      <c r="H33" s="8">
        <f>E33-G33</f>
        <v/>
      </c>
      <c r="I33" t="inlineStr">
        <is>
          <t>yes</t>
        </is>
      </c>
      <c r="J33" s="5" t="inlineStr">
        <is>
          <t>frame.hub.capacity.rate.full * _ops.plant.uptime.cnt * _ops.feedstock.availability.pct</t>
        </is>
      </c>
    </row>
    <row r="34">
      <c r="A34" s="5" t="inlineStr">
        <is>
          <t>ops.hub.mill.cnt.phase1</t>
        </is>
      </c>
      <c r="B34" t="inlineStr">
        <is>
          <t>mills</t>
        </is>
      </c>
      <c r="C34">
        <f>ops.hub.biomethane.volume.rate.phase1 / ops.mill.biomethane.volume.rate</f>
        <v/>
      </c>
      <c r="D34" t="n">
        <v>1</v>
      </c>
      <c r="E34" s="7">
        <f>ROUND(C34,D34)</f>
        <v/>
      </c>
      <c r="F34">
        <f>IF(full_precision,C34,E34)</f>
        <v/>
      </c>
      <c r="G34" s="7" t="n">
        <v>15.7</v>
      </c>
      <c r="H34" s="8">
        <f>E34-G34</f>
        <v/>
      </c>
      <c r="I34" t="inlineStr">
        <is>
          <t>yes</t>
        </is>
      </c>
      <c r="J34" s="5" t="inlineStr">
        <is>
          <t>ops.hub.biomethane.volume.rate.phase1 / ops.mill.biomethane.volume.rate</t>
        </is>
      </c>
    </row>
    <row r="35">
      <c r="A35" s="5" t="inlineStr">
        <is>
          <t>ops.hub.mill.cnt.full</t>
        </is>
      </c>
      <c r="B35" t="inlineStr">
        <is>
          <t>mills</t>
        </is>
      </c>
      <c r="C35">
        <f>ops.hub.biomethane.volume.rate.full / ops.mill.biomethane.volume.rate</f>
        <v/>
      </c>
      <c r="D35" t="n">
        <v>1</v>
      </c>
      <c r="E35" s="7">
        <f>ROUND(C35,D35)</f>
        <v/>
      </c>
      <c r="F35">
        <f>IF(full_precision,C35,E35)</f>
        <v/>
      </c>
      <c r="G35" s="7" t="n">
        <v>31.5</v>
      </c>
      <c r="H35" s="8">
        <f>E35-G35</f>
        <v/>
      </c>
      <c r="I35" t="inlineStr">
        <is>
          <t>yes</t>
        </is>
      </c>
      <c r="J35" s="5" t="inlineStr">
        <is>
          <t>ops.hub.biomethane.volume.rate.full / ops.mill.biomethane.volume.rate</t>
        </is>
      </c>
    </row>
    <row r="36">
      <c r="A36" s="5" t="inlineStr">
        <is>
          <t>ops.hub.mill.pct.full</t>
        </is>
      </c>
      <c r="B36" t="inlineStr">
        <is>
          <t>fraction</t>
        </is>
      </c>
      <c r="C36">
        <f>ops.hub.mill.cnt.full / market.mill.cnt.south</f>
        <v/>
      </c>
      <c r="D36" t="n">
        <v>2</v>
      </c>
      <c r="E36" s="7">
        <f>ROUND(C36,D36)</f>
        <v/>
      </c>
      <c r="F36">
        <f>IF(full_precision,C36,E36)</f>
        <v/>
      </c>
      <c r="G36" s="7" t="n">
        <v>0.45</v>
      </c>
      <c r="H36" s="8">
        <f>E36-G36</f>
        <v/>
      </c>
      <c r="I36" t="inlineStr">
        <is>
          <t>yes</t>
        </is>
      </c>
      <c r="J36" s="5" t="inlineStr">
        <is>
          <t>ops.hub.mill.cnt.full / market.mill.cnt.south</t>
        </is>
      </c>
    </row>
    <row r="37">
      <c r="A37" s="5" t="inlineStr">
        <is>
          <t>ops.hub.mill.pct.full_of_digesters</t>
        </is>
      </c>
      <c r="B37" t="inlineStr">
        <is>
          <t>fraction</t>
        </is>
      </c>
      <c r="C37">
        <f>ops.hub.mill.cnt.full / market.mill.cnt.with_digester</f>
        <v/>
      </c>
      <c r="D37" t="n">
        <v>2</v>
      </c>
      <c r="E37" s="7">
        <f>ROUND(C37,D37)</f>
        <v/>
      </c>
      <c r="F37">
        <f>IF(full_precision,C37,E37)</f>
        <v/>
      </c>
      <c r="G37" s="7" t="n">
        <v>0.75</v>
      </c>
      <c r="H37" s="8">
        <f>E37-G37</f>
        <v/>
      </c>
      <c r="I37" t="inlineStr">
        <is>
          <t>yes</t>
        </is>
      </c>
      <c r="J37" s="5" t="inlineStr">
        <is>
          <t>ops.hub.mill.cnt.full / market.mill.cnt.with_digester</t>
        </is>
      </c>
    </row>
    <row r="38">
      <c r="A38" s="5" t="inlineStr">
        <is>
          <t>ops.hub.biogas.rate.client</t>
        </is>
      </c>
      <c r="B38" t="inlineStr">
        <is>
          <t>Nm3/day</t>
        </is>
      </c>
      <c r="C38">
        <f>ops.hub.mill.cnt.client * ops.mill.biogas.rate.client</f>
        <v/>
      </c>
      <c r="D38" t="n">
        <v>0</v>
      </c>
      <c r="E38" s="7">
        <f>ROUND(C38,D38)</f>
        <v/>
      </c>
      <c r="F38">
        <f>IF(full_precision,C38,E38)</f>
        <v/>
      </c>
      <c r="G38" s="7" t="n">
        <v>90000</v>
      </c>
      <c r="H38" s="8">
        <f>E38-G38</f>
        <v/>
      </c>
      <c r="I38" t="inlineStr">
        <is>
          <t>yes</t>
        </is>
      </c>
      <c r="J38" s="5" t="inlineStr">
        <is>
          <t>ops.hub.mill.cnt.client * ops.mill.biogas.rate.client</t>
        </is>
      </c>
    </row>
    <row r="39">
      <c r="A39" s="5" t="inlineStr">
        <is>
          <t>ops.hub.capacity.rate.client</t>
        </is>
      </c>
      <c r="B39" t="inlineStr">
        <is>
          <t>t/day</t>
        </is>
      </c>
      <c r="C39">
        <f>ops.hub.biogas.rate.client * _ops.biogas.methane.pct * _ops.upgrading.recovery.pct / _ops.biomethane.purity.pct * ops.biomethane.density.rate / 1000</f>
        <v/>
      </c>
      <c r="D39" t="n">
        <v>0</v>
      </c>
      <c r="E39" s="7">
        <f>ROUND(C39,D39)</f>
        <v/>
      </c>
      <c r="F39">
        <f>IF(full_precision,C39,E39)</f>
        <v/>
      </c>
      <c r="G39" s="7" t="n">
        <v>39</v>
      </c>
      <c r="H39" s="8">
        <f>E39-G39</f>
        <v/>
      </c>
      <c r="I39" t="inlineStr">
        <is>
          <t>yes</t>
        </is>
      </c>
      <c r="J39" s="5" t="inlineStr">
        <is>
          <t>ops.hub.biogas.rate.client * _ops.biogas.methane.pct * _ops.upgrading.recovery.pct / _ops.biomethane.purity.pct * ops.biomethane.density.rate / 1000</t>
        </is>
      </c>
    </row>
    <row r="40">
      <c r="A40" s="1" t="inlineStr">
        <is>
          <t>Feedstock cost and the mills' alternative</t>
        </is>
      </c>
      <c r="B40" s="2" t="n"/>
      <c r="C40" s="2" t="n"/>
      <c r="D40" s="2" t="n"/>
      <c r="E40" s="2" t="n"/>
      <c r="F40" s="2" t="n"/>
      <c r="G40" s="2" t="n"/>
      <c r="H40" s="2" t="n"/>
      <c r="I40" s="2" t="n"/>
      <c r="J40" s="2" t="n"/>
    </row>
    <row r="41">
      <c r="A41" s="5" t="inlineStr">
        <is>
          <t>ops.biogas.density.rate</t>
        </is>
      </c>
      <c r="B41" t="inlineStr">
        <is>
          <t>kg/Nm3</t>
        </is>
      </c>
      <c r="C41">
        <f>_ops.biogas.methane.pct * _ops.methane.density.rate + (1 - _ops.biogas.methane.pct) * _ops.carbon_dioxide.density.rate</f>
        <v/>
      </c>
      <c r="D41" t="n">
        <v>4</v>
      </c>
      <c r="E41" s="7">
        <f>ROUND(C41,D41)</f>
        <v/>
      </c>
      <c r="F41">
        <f>IF(full_precision,C41,E41)</f>
        <v/>
      </c>
      <c r="G41" s="7" t="n">
        <v>1.2839</v>
      </c>
      <c r="H41" s="8">
        <f>E41-G41</f>
        <v/>
      </c>
      <c r="I41" t="inlineStr">
        <is>
          <t>yes</t>
        </is>
      </c>
      <c r="J41" s="5" t="inlineStr">
        <is>
          <t>_ops.biogas.methane.pct * _ops.methane.density.rate + (1 - _ops.biogas.methane.pct) * _ops.carbon_dioxide.density.rate</t>
        </is>
      </c>
    </row>
    <row r="42">
      <c r="A42" s="5" t="inlineStr">
        <is>
          <t>ops.feedstock.price.amt</t>
        </is>
      </c>
      <c r="B42" t="inlineStr">
        <is>
          <t>THB/Nm3</t>
        </is>
      </c>
      <c r="C42">
        <f>frame.feedstock.price.amt.reference * ops.biogas.density.rate</f>
        <v/>
      </c>
      <c r="D42" t="n">
        <v>2</v>
      </c>
      <c r="E42" s="7">
        <f>ROUND(C42,D42)</f>
        <v/>
      </c>
      <c r="F42">
        <f>IF(full_precision,C42,E42)</f>
        <v/>
      </c>
      <c r="G42" s="7" t="n">
        <v>4.17</v>
      </c>
      <c r="H42" s="8">
        <f>E42-G42</f>
        <v/>
      </c>
      <c r="I42" t="inlineStr">
        <is>
          <t>yes</t>
        </is>
      </c>
      <c r="J42" s="5" t="inlineStr">
        <is>
          <t>frame.feedstock.price.amt.reference * ops.biogas.density.rate</t>
        </is>
      </c>
    </row>
    <row r="43">
      <c r="A43" s="5" t="inlineStr">
        <is>
          <t>ops.biogas.energy.rate</t>
        </is>
      </c>
      <c r="B43" t="inlineStr">
        <is>
          <t>MMBtu/Nm3</t>
        </is>
      </c>
      <c r="C43">
        <f>_ops.biogas.methane.pct * _ops.methane.energy.rate</f>
        <v/>
      </c>
      <c r="D43" t="n">
        <v>4</v>
      </c>
      <c r="E43" s="7">
        <f>ROUND(C43,D43)</f>
        <v/>
      </c>
      <c r="F43">
        <f>IF(full_precision,C43,E43)</f>
        <v/>
      </c>
      <c r="G43" s="7" t="n">
        <v>0.0209</v>
      </c>
      <c r="H43" s="8">
        <f>E43-G43</f>
        <v/>
      </c>
      <c r="I43" t="inlineStr">
        <is>
          <t>yes</t>
        </is>
      </c>
      <c r="J43" s="5" t="inlineStr">
        <is>
          <t>_ops.biogas.methane.pct * _ops.methane.energy.rate</t>
        </is>
      </c>
    </row>
    <row r="44">
      <c r="A44" s="5" t="inlineStr">
        <is>
          <t>ops.biogas.requirement.rate</t>
        </is>
      </c>
      <c r="B44" t="inlineStr">
        <is>
          <t>Nm3 biogas/MMBtu</t>
        </is>
      </c>
      <c r="C44">
        <f>1 / (ops.biogas.energy.rate * _ops.upgrading.recovery.pct)</f>
        <v/>
      </c>
      <c r="D44" t="n">
        <v>2</v>
      </c>
      <c r="E44" s="7">
        <f>ROUND(C44,D44)</f>
        <v/>
      </c>
      <c r="F44">
        <f>IF(full_precision,C44,E44)</f>
        <v/>
      </c>
      <c r="G44" s="7" t="n">
        <v>49.84</v>
      </c>
      <c r="H44" s="8">
        <f>E44-G44</f>
        <v/>
      </c>
      <c r="I44" t="inlineStr">
        <is>
          <t>yes</t>
        </is>
      </c>
      <c r="J44" s="5" t="inlineStr">
        <is>
          <t>1 / (ops.biogas.energy.rate * _ops.upgrading.recovery.pct)</t>
        </is>
      </c>
    </row>
    <row r="45">
      <c r="A45" s="5" t="inlineStr">
        <is>
          <t>finance.unit.cost.feedstock.amt</t>
        </is>
      </c>
      <c r="B45" t="inlineStr">
        <is>
          <t>USD/MMBtu</t>
        </is>
      </c>
      <c r="C45">
        <f>ops.feedstock.price.amt / _finance.fx.thb.rate / (ops.biogas.energy.rate * _ops.upgrading.recovery.pct)</f>
        <v/>
      </c>
      <c r="D45" t="n">
        <v>2</v>
      </c>
      <c r="E45" s="7">
        <f>ROUND(C45,D45)</f>
        <v/>
      </c>
      <c r="F45">
        <f>IF(full_precision,C45,E45)</f>
        <v/>
      </c>
      <c r="G45" s="7" t="n">
        <v>6.22</v>
      </c>
      <c r="H45" s="8">
        <f>E45-G45</f>
        <v/>
      </c>
      <c r="I45" t="inlineStr">
        <is>
          <t>yes</t>
        </is>
      </c>
      <c r="J45" s="5" t="inlineStr">
        <is>
          <t>(ops.feedstock.price.amt / _finance.fx.thb.rate) / (ops.biogas.energy.rate * _ops.upgrading.recovery.pct)</t>
        </is>
      </c>
    </row>
    <row r="46">
      <c r="A46" s="5" t="inlineStr">
        <is>
          <t>ops.mill.alternative.price.amt</t>
        </is>
      </c>
      <c r="B46" t="inlineStr">
        <is>
          <t>THB/Nm3</t>
        </is>
      </c>
      <c r="C46">
        <f>market.power.price.amt.biogas_fit * _ops.genset.output.rate</f>
        <v/>
      </c>
      <c r="D46" t="n">
        <v>2</v>
      </c>
      <c r="E46" s="7">
        <f>ROUND(C46,D46)</f>
        <v/>
      </c>
      <c r="F46">
        <f>IF(full_precision,C46,E46)</f>
        <v/>
      </c>
      <c r="G46" s="7" t="n">
        <v>3.11</v>
      </c>
      <c r="H46" s="8">
        <f>E46-G46</f>
        <v/>
      </c>
      <c r="I46" t="inlineStr">
        <is>
          <t>yes</t>
        </is>
      </c>
      <c r="J46" s="5" t="inlineStr">
        <is>
          <t>market.power.price.amt.biogas_fit * _ops.genset.output.rate</t>
        </is>
      </c>
    </row>
    <row r="47">
      <c r="A47" s="5" t="inlineStr">
        <is>
          <t>ops.mill.alternative.price.amt.net</t>
        </is>
      </c>
      <c r="B47" t="inlineStr">
        <is>
          <t>THB/Nm3</t>
        </is>
      </c>
      <c r="C47">
        <f>ops.mill.alternative.price.amt * 0.7</f>
        <v/>
      </c>
      <c r="D47" t="n">
        <v>2</v>
      </c>
      <c r="E47" s="7">
        <f>ROUND(C47,D47)</f>
        <v/>
      </c>
      <c r="F47">
        <f>IF(full_precision,C47,E47)</f>
        <v/>
      </c>
      <c r="G47" s="7" t="n">
        <v>2.18</v>
      </c>
      <c r="H47" s="8">
        <f>E47-G47</f>
        <v/>
      </c>
      <c r="I47" t="inlineStr">
        <is>
          <t>yes</t>
        </is>
      </c>
      <c r="J47" s="5" t="inlineStr">
        <is>
          <t>ops.mill.alternative.price.amt * 0.7</t>
        </is>
      </c>
    </row>
    <row r="48">
      <c r="A48" s="5" t="inlineStr">
        <is>
          <t>ops.mill.switching.premium.amt</t>
        </is>
      </c>
      <c r="B48" t="inlineStr">
        <is>
          <t>THB/Nm3</t>
        </is>
      </c>
      <c r="C48">
        <f>ops.feedstock.price.amt - ops.mill.alternative.price.amt.net</f>
        <v/>
      </c>
      <c r="D48" t="n">
        <v>2</v>
      </c>
      <c r="E48" s="7">
        <f>ROUND(C48,D48)</f>
        <v/>
      </c>
      <c r="F48">
        <f>IF(full_precision,C48,E48)</f>
        <v/>
      </c>
      <c r="G48" s="7" t="n">
        <v>1.99</v>
      </c>
      <c r="H48" s="8">
        <f>E48-G48</f>
        <v/>
      </c>
      <c r="I48" t="inlineStr">
        <is>
          <t>yes</t>
        </is>
      </c>
      <c r="J48" s="5" t="inlineStr">
        <is>
          <t>ops.feedstock.price.amt - ops.mill.alternative.price.amt.net</t>
        </is>
      </c>
    </row>
    <row r="49">
      <c r="A49" s="5" t="inlineStr">
        <is>
          <t>ops.mill.switching.premium.pct</t>
        </is>
      </c>
      <c r="B49" t="inlineStr">
        <is>
          <t>fraction</t>
        </is>
      </c>
      <c r="C49">
        <f>ops.mill.switching.premium.amt / ops.mill.alternative.price.amt.net</f>
        <v/>
      </c>
      <c r="D49" t="n">
        <v>3</v>
      </c>
      <c r="E49" s="7">
        <f>ROUND(C49,D49)</f>
        <v/>
      </c>
      <c r="F49">
        <f>IF(full_precision,C49,E49)</f>
        <v/>
      </c>
      <c r="G49" s="7" t="n">
        <v>0.913</v>
      </c>
      <c r="H49" s="8">
        <f>E49-G49</f>
        <v/>
      </c>
      <c r="I49" t="inlineStr">
        <is>
          <t>yes</t>
        </is>
      </c>
      <c r="J49" s="5" t="inlineStr">
        <is>
          <t>ops.mill.switching.premium.amt / ops.mill.alternative.price.amt.net</t>
        </is>
      </c>
    </row>
    <row r="50">
      <c r="A50" s="1" t="inlineStr">
        <is>
          <t>Upgrading, compression and liquefaction</t>
        </is>
      </c>
      <c r="B50" s="2" t="n"/>
      <c r="C50" s="2" t="n"/>
      <c r="D50" s="2" t="n"/>
      <c r="E50" s="2" t="n"/>
      <c r="F50" s="2" t="n"/>
      <c r="G50" s="2" t="n"/>
      <c r="H50" s="2" t="n"/>
      <c r="I50" s="2" t="n"/>
      <c r="J50" s="2" t="n"/>
    </row>
    <row r="51">
      <c r="A51" s="5" t="inlineStr">
        <is>
          <t>finance.unit.cost.upgrading_power.amt</t>
        </is>
      </c>
      <c r="B51" t="inlineStr">
        <is>
          <t>USD/MMBtu</t>
        </is>
      </c>
      <c r="C51">
        <f>_ops.upgrading.power.rate * _ops.power.price.amt / _finance.fx.thb.rate / (ops.biogas.energy.rate * _ops.upgrading.recovery.pct)</f>
        <v/>
      </c>
      <c r="D51" t="n">
        <v>2</v>
      </c>
      <c r="E51" s="7">
        <f>ROUND(C51,D51)</f>
        <v/>
      </c>
      <c r="F51">
        <f>IF(full_precision,C51,E51)</f>
        <v/>
      </c>
      <c r="G51" s="7" t="n">
        <v>1.42</v>
      </c>
      <c r="H51" s="8">
        <f>E51-G51</f>
        <v/>
      </c>
      <c r="I51" t="inlineStr">
        <is>
          <t>yes</t>
        </is>
      </c>
      <c r="J51" s="5" t="inlineStr">
        <is>
          <t>(_ops.upgrading.power.rate * _ops.power.price.amt / _finance.fx.thb.rate) / (ops.biogas.energy.rate * _ops.upgrading.recovery.pct)</t>
        </is>
      </c>
    </row>
    <row r="52">
      <c r="A52" s="5" t="inlineStr">
        <is>
          <t>ops.biogas.sulfur.ratio.client</t>
        </is>
      </c>
      <c r="B52" t="inlineStr">
        <is>
          <t>ratio</t>
        </is>
      </c>
      <c r="C52">
        <f>ops.biogas.sulfur.rate / ops.biogas.sulfur.rate.client</f>
        <v/>
      </c>
      <c r="D52" t="n">
        <v>1</v>
      </c>
      <c r="E52" s="7">
        <f>ROUND(C52,D52)</f>
        <v/>
      </c>
      <c r="F52">
        <f>IF(full_precision,C52,E52)</f>
        <v/>
      </c>
      <c r="G52" s="7" t="n">
        <v>3.1</v>
      </c>
      <c r="H52" s="8">
        <f>E52-G52</f>
        <v/>
      </c>
      <c r="I52" t="inlineStr">
        <is>
          <t>yes</t>
        </is>
      </c>
      <c r="J52" s="5" t="inlineStr">
        <is>
          <t>ops.biogas.sulfur.rate / ops.biogas.sulfur.rate.client</t>
        </is>
      </c>
    </row>
    <row r="53">
      <c r="A53" s="5" t="inlineStr">
        <is>
          <t>ops.desulfurization.biogas.rate</t>
        </is>
      </c>
      <c r="B53" t="inlineStr">
        <is>
          <t>Nm3/day</t>
        </is>
      </c>
      <c r="C53">
        <f>ops.desulfurization.throughput.rate * 24 / 1000 * ops.biogas.yield.ratio</f>
        <v/>
      </c>
      <c r="D53" t="n">
        <v>0</v>
      </c>
      <c r="E53" s="7">
        <f>ROUND(C53,D53)</f>
        <v/>
      </c>
      <c r="F53">
        <f>IF(full_precision,C53,E53)</f>
        <v/>
      </c>
      <c r="G53" s="7" t="n">
        <v>8861</v>
      </c>
      <c r="H53" s="8">
        <f>E53-G53</f>
        <v/>
      </c>
      <c r="I53" t="inlineStr">
        <is>
          <t>yes</t>
        </is>
      </c>
      <c r="J53" s="5" t="inlineStr">
        <is>
          <t>ops.desulfurization.throughput.rate * 24 / 1000 * ops.biogas.yield.ratio</t>
        </is>
      </c>
    </row>
    <row r="54">
      <c r="A54" s="5" t="inlineStr">
        <is>
          <t>ops.media.capacity.rate.stoichiometric</t>
        </is>
      </c>
      <c r="B54" t="inlineStr">
        <is>
          <t>mg H2S/g Fe2O3</t>
        </is>
      </c>
      <c r="C54">
        <f>3 * _ops.sulfide.mass.ratio / _ops.iron_oxide.mass.ratio * 1000</f>
        <v/>
      </c>
      <c r="D54" t="n">
        <v>0</v>
      </c>
      <c r="E54" s="7">
        <f>ROUND(C54,D54)</f>
        <v/>
      </c>
      <c r="F54">
        <f>IF(full_precision,C54,E54)</f>
        <v/>
      </c>
      <c r="G54" s="7" t="n">
        <v>640</v>
      </c>
      <c r="H54" s="8">
        <f>E54-G54</f>
        <v/>
      </c>
      <c r="I54" t="inlineStr">
        <is>
          <t>yes</t>
        </is>
      </c>
      <c r="J54" s="5" t="inlineStr">
        <is>
          <t>3 * _ops.sulfide.mass.ratio / _ops.iron_oxide.mass.ratio * 1000</t>
        </is>
      </c>
    </row>
    <row r="55">
      <c r="A55" s="5" t="inlineStr">
        <is>
          <t>ops.media.capacity.rate</t>
        </is>
      </c>
      <c r="B55" t="inlineStr">
        <is>
          <t>mg H2S/g media</t>
        </is>
      </c>
      <c r="C55">
        <f>ops.media.capacity.rate.stoichiometric * _ops.media.utilization.pct</f>
        <v/>
      </c>
      <c r="D55" t="n">
        <v>0</v>
      </c>
      <c r="E55" s="7">
        <f>ROUND(C55,D55)</f>
        <v/>
      </c>
      <c r="F55">
        <f>IF(full_precision,C55,E55)</f>
        <v/>
      </c>
      <c r="G55" s="7" t="n">
        <v>150</v>
      </c>
      <c r="H55" s="8">
        <f>E55-G55</f>
        <v/>
      </c>
      <c r="I55" t="inlineStr">
        <is>
          <t>yes</t>
        </is>
      </c>
      <c r="J55" s="5" t="inlineStr">
        <is>
          <t>ops.media.capacity.rate.stoichiometric * _ops.media.utilization.pct</t>
        </is>
      </c>
    </row>
    <row r="56">
      <c r="A56" s="5" t="inlineStr">
        <is>
          <t>ops.media.capacity.ratio.client</t>
        </is>
      </c>
      <c r="B56" t="inlineStr">
        <is>
          <t>ratio</t>
        </is>
      </c>
      <c r="C56">
        <f>ops.media.capacity.rate / ops.media.capacity.rate.client</f>
        <v/>
      </c>
      <c r="D56" t="n">
        <v>1</v>
      </c>
      <c r="E56" s="7">
        <f>ROUND(C56,D56)</f>
        <v/>
      </c>
      <c r="F56">
        <f>IF(full_precision,C56,E56)</f>
        <v/>
      </c>
      <c r="G56" s="7" t="n">
        <v>18.5</v>
      </c>
      <c r="H56" s="8">
        <f>E56-G56</f>
        <v/>
      </c>
      <c r="I56" t="inlineStr">
        <is>
          <t>yes</t>
        </is>
      </c>
      <c r="J56" s="5" t="inlineStr">
        <is>
          <t>ops.media.capacity.rate / ops.media.capacity.rate.client</t>
        </is>
      </c>
    </row>
    <row r="57">
      <c r="A57" s="1" t="inlineStr">
        <is>
          <t>Route costs</t>
        </is>
      </c>
      <c r="B57" s="2" t="n"/>
      <c r="C57" s="2" t="n"/>
      <c r="D57" s="2" t="n"/>
      <c r="E57" s="2" t="n"/>
      <c r="F57" s="2" t="n"/>
      <c r="G57" s="2" t="n"/>
      <c r="H57" s="2" t="n"/>
      <c r="I57" s="2" t="n"/>
      <c r="J57" s="2" t="n"/>
    </row>
    <row r="58">
      <c r="A58" s="5" t="inlineStr">
        <is>
          <t>finance.unit.cost.route.amt.pipeline_malaysia</t>
        </is>
      </c>
      <c r="B58" t="inlineStr">
        <is>
          <t>USD/MMBtu</t>
        </is>
      </c>
      <c r="C58">
        <f>(ops.route.tariff.amt.pgu + ops.route.tariff.amt.singapore_leg) * _ops.energy.conversion.ratio / _finance.fx.myr.rate / _ops.route.utilization.pct</f>
        <v/>
      </c>
      <c r="D58" t="n">
        <v>2</v>
      </c>
      <c r="E58" s="7">
        <f>ROUND(C58,D58)</f>
        <v/>
      </c>
      <c r="F58">
        <f>IF(full_precision,C58,E58)</f>
        <v/>
      </c>
      <c r="G58" s="7" t="n">
        <v>0.85</v>
      </c>
      <c r="H58" s="8">
        <f>E58-G58</f>
        <v/>
      </c>
      <c r="I58" t="inlineStr">
        <is>
          <t>yes</t>
        </is>
      </c>
      <c r="J58" s="5" t="inlineStr">
        <is>
          <t>(ops.route.tariff.amt.pgu + ops.route.tariff.amt.singapore_leg) * _ops.energy.conversion.ratio / _finance.fx.myr.rate / _ops.route.utilization.pct</t>
        </is>
      </c>
    </row>
    <row r="59">
      <c r="A59" s="5" t="inlineStr">
        <is>
          <t>finance.unit.cost.collection.amt.published</t>
        </is>
      </c>
      <c r="B59" t="inlineStr">
        <is>
          <t>USD/MMBtu</t>
        </is>
      </c>
      <c r="C59">
        <f>(ops.route.collection.cost.amt.low + ops.route.collection.cost.amt.high) / 2</f>
        <v/>
      </c>
      <c r="D59" t="n">
        <v>0</v>
      </c>
      <c r="E59" s="7">
        <f>ROUND(C59,D59)</f>
        <v/>
      </c>
      <c r="F59">
        <f>IF(full_precision,C59,E59)</f>
        <v/>
      </c>
      <c r="G59" s="7" t="n">
        <v>2</v>
      </c>
      <c r="H59" s="8">
        <f>E59-G59</f>
        <v/>
      </c>
      <c r="I59" t="inlineStr">
        <is>
          <t>yes</t>
        </is>
      </c>
      <c r="J59" s="5" t="inlineStr">
        <is>
          <t>(ops.route.collection.cost.amt.low + ops.route.collection.cost.amt.high) / 2</t>
        </is>
      </c>
    </row>
    <row r="60">
      <c r="A60" s="5" t="inlineStr">
        <is>
          <t>ops.trailer.energy.rate</t>
        </is>
      </c>
      <c r="B60" t="inlineStr">
        <is>
          <t>MMBtu/trailer</t>
        </is>
      </c>
      <c r="C60">
        <f>_ops.trailer.payload.rate * ops.biomethane.energy.rate.mass</f>
        <v/>
      </c>
      <c r="D60" t="n">
        <v>2</v>
      </c>
      <c r="E60" s="7">
        <f>ROUND(C60,D60)</f>
        <v/>
      </c>
      <c r="F60">
        <f>IF(full_precision,C60,E60)</f>
        <v/>
      </c>
      <c r="G60" s="7" t="n">
        <v>138.87</v>
      </c>
      <c r="H60" s="8">
        <f>E60-G60</f>
        <v/>
      </c>
      <c r="I60" t="inlineStr">
        <is>
          <t>yes</t>
        </is>
      </c>
      <c r="J60" s="5" t="inlineStr">
        <is>
          <t>_ops.trailer.payload.rate * ops.biomethane.energy.rate.mass</t>
        </is>
      </c>
    </row>
    <row r="61">
      <c r="A61" s="5" t="inlineStr">
        <is>
          <t>ops.trailer.fuel.cost.amt</t>
        </is>
      </c>
      <c r="B61" t="inlineStr">
        <is>
          <t>THB/km</t>
        </is>
      </c>
      <c r="C61">
        <f>_ops.diesel.price.amt / _ops.trailer.fuel.rate</f>
        <v/>
      </c>
      <c r="D61" t="n">
        <v>1</v>
      </c>
      <c r="E61" s="7">
        <f>ROUND(C61,D61)</f>
        <v/>
      </c>
      <c r="F61">
        <f>IF(full_precision,C61,E61)</f>
        <v/>
      </c>
      <c r="G61" s="7" t="n">
        <v>9.699999999999999</v>
      </c>
      <c r="H61" s="8">
        <f>E61-G61</f>
        <v/>
      </c>
      <c r="I61" t="inlineStr">
        <is>
          <t>yes</t>
        </is>
      </c>
      <c r="J61" s="5" t="inlineStr">
        <is>
          <t>_ops.diesel.price.amt / _ops.trailer.fuel.rate</t>
        </is>
      </c>
    </row>
    <row r="62">
      <c r="A62" s="5" t="inlineStr">
        <is>
          <t>ops.trailer.cost.rate</t>
        </is>
      </c>
      <c r="B62" t="inlineStr">
        <is>
          <t>THB/km</t>
        </is>
      </c>
      <c r="C62">
        <f>ops.trailer.fuel.cost.amt * _ops.trailer.cost.ratio</f>
        <v/>
      </c>
      <c r="D62" t="n">
        <v>2</v>
      </c>
      <c r="E62" s="7">
        <f>ROUND(C62,D62)</f>
        <v/>
      </c>
      <c r="F62">
        <f>IF(full_precision,C62,E62)</f>
        <v/>
      </c>
      <c r="G62" s="7" t="n">
        <v>23.28</v>
      </c>
      <c r="H62" s="8">
        <f>E62-G62</f>
        <v/>
      </c>
      <c r="I62" t="inlineStr">
        <is>
          <t>yes</t>
        </is>
      </c>
      <c r="J62" s="5" t="inlineStr">
        <is>
          <t>ops.trailer.fuel.cost.amt * _ops.trailer.cost.ratio</t>
        </is>
      </c>
    </row>
    <row r="63">
      <c r="A63" s="5" t="inlineStr">
        <is>
          <t>finance.unit.cost.collection.amt.derived</t>
        </is>
      </c>
      <c r="B63" t="inlineStr">
        <is>
          <t>USD/MMBtu</t>
        </is>
      </c>
      <c r="C63">
        <f>ops.trailer.cost.rate * ops.hub.collection.dur * 2 / _finance.fx.thb.rate / ops.trailer.energy.rate</f>
        <v/>
      </c>
      <c r="D63" t="n">
        <v>2</v>
      </c>
      <c r="E63" s="7">
        <f>ROUND(C63,D63)</f>
        <v/>
      </c>
      <c r="F63">
        <f>IF(full_precision,C63,E63)</f>
        <v/>
      </c>
      <c r="G63" s="7" t="n">
        <v>1.51</v>
      </c>
      <c r="H63" s="8">
        <f>E63-G63</f>
        <v/>
      </c>
      <c r="I63" t="inlineStr">
        <is>
          <t>yes</t>
        </is>
      </c>
      <c r="J63" s="5" t="inlineStr">
        <is>
          <t>ops.trailer.cost.rate * ops.hub.collection.dur * 2 / _finance.fx.thb.rate / ops.trailer.energy.rate</t>
        </is>
      </c>
    </row>
    <row r="64">
      <c r="A64" s="5" t="inlineStr">
        <is>
          <t>ops.hub.trailer.cnt.phase1</t>
        </is>
      </c>
      <c r="B64" t="inlineStr">
        <is>
          <t>trailer loads/day</t>
        </is>
      </c>
      <c r="C64">
        <f>frame.hub.capacity.rate.phase1 / _ops.trailer.payload.rate</f>
        <v/>
      </c>
      <c r="D64" t="n">
        <v>1</v>
      </c>
      <c r="E64" s="7">
        <f>ROUND(C64,D64)</f>
        <v/>
      </c>
      <c r="F64">
        <f>IF(full_precision,C64,E64)</f>
        <v/>
      </c>
      <c r="G64" s="7" t="n">
        <v>33.3</v>
      </c>
      <c r="H64" s="8">
        <f>E64-G64</f>
        <v/>
      </c>
      <c r="I64" t="inlineStr">
        <is>
          <t>yes</t>
        </is>
      </c>
      <c r="J64" s="5" t="inlineStr">
        <is>
          <t>frame.hub.capacity.rate.phase1 / _ops.trailer.payload.rate</t>
        </is>
      </c>
    </row>
    <row r="65">
      <c r="A65" s="5" t="inlineStr">
        <is>
          <t>ops.carbon_dioxide.yield.rate</t>
        </is>
      </c>
      <c r="B65" t="inlineStr">
        <is>
          <t>t CO2/MMBtu</t>
        </is>
      </c>
      <c r="C65">
        <f>ops.biogas.requirement.rate * _ops.biogas.carbon_dioxide.pct * _ops.carbon_dioxide.density.rate / 1000</f>
        <v/>
      </c>
      <c r="D65" t="n">
        <v>4</v>
      </c>
      <c r="E65" s="7">
        <f>ROUND(C65,D65)</f>
        <v/>
      </c>
      <c r="F65">
        <f>IF(full_precision,C65,E65)</f>
        <v/>
      </c>
      <c r="G65" s="7" t="n">
        <v>0.0443</v>
      </c>
      <c r="H65" s="8">
        <f>E65-G65</f>
        <v/>
      </c>
      <c r="I65" t="inlineStr">
        <is>
          <t>yes</t>
        </is>
      </c>
      <c r="J65" s="5" t="inlineStr">
        <is>
          <t>ops.biogas.requirement.rate * _ops.biogas.carbon_dioxide.pct * _ops.carbon_dioxide.density.rate / 1000</t>
        </is>
      </c>
    </row>
    <row r="66">
      <c r="A66" s="5" t="inlineStr">
        <is>
          <t>finance.unit.revenue.amt.carbon_dioxide</t>
        </is>
      </c>
      <c r="B66" t="inlineStr">
        <is>
          <t>USD/MMBtu</t>
        </is>
      </c>
      <c r="C66">
        <f>ops.carbon_dioxide.yield.rate * market.carbon_dioxide.price.amt.netback</f>
        <v/>
      </c>
      <c r="D66" t="n">
        <v>2</v>
      </c>
      <c r="E66" s="7">
        <f>IF(full_precision,ROUND(C66,D66),2.21)</f>
        <v/>
      </c>
      <c r="F66">
        <f>IF(full_precision,C66,E66)</f>
        <v/>
      </c>
      <c r="G66" s="7" t="n">
        <v>2.21</v>
      </c>
      <c r="H66" s="8">
        <f>E66-G66</f>
        <v/>
      </c>
      <c r="I66" s="9" t="inlineStr">
        <is>
          <t>held to the memo</t>
        </is>
      </c>
      <c r="J66" s="5" t="inlineStr">
        <is>
          <t>ops.carbon_dioxide.yield.rate * market.carbon_dioxide.price.amt.netback</t>
        </is>
      </c>
    </row>
    <row r="67">
      <c r="A67" s="1" t="inlineStr">
        <is>
          <t>Capital cost</t>
        </is>
      </c>
      <c r="B67" s="2" t="n"/>
      <c r="C67" s="2" t="n"/>
      <c r="D67" s="2" t="n"/>
      <c r="E67" s="2" t="n"/>
      <c r="F67" s="2" t="n"/>
      <c r="G67" s="2" t="n"/>
      <c r="H67" s="2" t="n"/>
      <c r="I67" s="2" t="n"/>
      <c r="J67" s="2" t="n"/>
    </row>
    <row r="68">
      <c r="A68" s="5" t="inlineStr">
        <is>
          <t>finance.upgrading.capital.amt.benchmark</t>
        </is>
      </c>
      <c r="B68" t="inlineStr">
        <is>
          <t>USD</t>
        </is>
      </c>
      <c r="C68">
        <f>_ops.upgrading.capital.amt.benchmark * (ops.upgrading.capacity.rate.client / _ops.upgrading.capacity.rate.benchmark) ^ _finance.capital.scale.ratio</f>
        <v/>
      </c>
      <c r="D68" t="n">
        <v>0</v>
      </c>
      <c r="E68" s="7">
        <f>ROUND(C68,D68)</f>
        <v/>
      </c>
      <c r="F68">
        <f>IF(full_precision,C68,E68)</f>
        <v/>
      </c>
      <c r="G68" s="7" t="n">
        <v>6123990</v>
      </c>
      <c r="H68" s="8">
        <f>E68-G68</f>
        <v/>
      </c>
      <c r="I68" t="inlineStr">
        <is>
          <t>yes</t>
        </is>
      </c>
      <c r="J68" s="5" t="inlineStr">
        <is>
          <t>_ops.upgrading.capital.amt.benchmark * (ops.upgrading.capacity.rate.client / _ops.upgrading.capacity.rate.benchmark) ** _finance.capital.scale.ratio</t>
        </is>
      </c>
    </row>
    <row r="69">
      <c r="A69" s="5" t="inlineStr">
        <is>
          <t>finance.upgrading.capital.amt.client_usd</t>
        </is>
      </c>
      <c r="B69" t="inlineStr">
        <is>
          <t>USD</t>
        </is>
      </c>
      <c r="C69">
        <f>finance.upgrading.capital.amt.client / _finance.fx.thb.rate</f>
        <v/>
      </c>
      <c r="D69" t="n">
        <v>0</v>
      </c>
      <c r="E69" s="7">
        <f>ROUND(C69,D69)</f>
        <v/>
      </c>
      <c r="F69">
        <f>IF(full_precision,C69,E69)</f>
        <v/>
      </c>
      <c r="G69" s="7" t="n">
        <v>1848458</v>
      </c>
      <c r="H69" s="8">
        <f>E69-G69</f>
        <v/>
      </c>
      <c r="I69" t="inlineStr">
        <is>
          <t>yes</t>
        </is>
      </c>
      <c r="J69" s="5" t="inlineStr">
        <is>
          <t>finance.upgrading.capital.amt.client / _finance.fx.thb.rate</t>
        </is>
      </c>
    </row>
    <row r="70">
      <c r="A70" s="5" t="inlineStr">
        <is>
          <t>finance.upgrading.capital.ratio.gap</t>
        </is>
      </c>
      <c r="B70" t="inlineStr">
        <is>
          <t>ratio</t>
        </is>
      </c>
      <c r="C70">
        <f>finance.upgrading.capital.amt.benchmark / finance.upgrading.capital.amt.client_usd</f>
        <v/>
      </c>
      <c r="D70" t="n">
        <v>2</v>
      </c>
      <c r="E70" s="7">
        <f>ROUND(C70,D70)</f>
        <v/>
      </c>
      <c r="F70">
        <f>IF(full_precision,C70,E70)</f>
        <v/>
      </c>
      <c r="G70" s="7" t="n">
        <v>3.31</v>
      </c>
      <c r="H70" s="8">
        <f>E70-G70</f>
        <v/>
      </c>
      <c r="I70" t="inlineStr">
        <is>
          <t>yes</t>
        </is>
      </c>
      <c r="J70" s="5" t="inlineStr">
        <is>
          <t>finance.upgrading.capital.amt.benchmark / finance.upgrading.capital.amt.client_usd</t>
        </is>
      </c>
    </row>
    <row r="71">
      <c r="A71" s="5" t="inlineStr">
        <is>
          <t>finance.liquefaction.capital.rate.client</t>
        </is>
      </c>
      <c r="B71" t="inlineStr">
        <is>
          <t>USD/tpa</t>
        </is>
      </c>
      <c r="C71">
        <f>finance.liquefaction.capital.amt.client / (40 * 346)</f>
        <v/>
      </c>
      <c r="D71" t="n">
        <v>0</v>
      </c>
      <c r="E71" s="7">
        <f>ROUND(C71,D71)</f>
        <v/>
      </c>
      <c r="F71">
        <f>IF(full_precision,C71,E71)</f>
        <v/>
      </c>
      <c r="G71" s="7" t="n">
        <v>534</v>
      </c>
      <c r="H71" s="8">
        <f>E71-G71</f>
        <v/>
      </c>
      <c r="I71" t="inlineStr">
        <is>
          <t>yes</t>
        </is>
      </c>
      <c r="J71" s="5" t="inlineStr">
        <is>
          <t>finance.liquefaction.capital.amt.client / (40 * 346)</t>
        </is>
      </c>
    </row>
    <row r="72">
      <c r="A72" s="1" t="inlineStr">
        <is>
          <t>Capital cost of the build</t>
        </is>
      </c>
      <c r="B72" s="2" t="n"/>
      <c r="C72" s="2" t="n"/>
      <c r="D72" s="2" t="n"/>
      <c r="E72" s="2" t="n"/>
      <c r="F72" s="2" t="n"/>
      <c r="G72" s="2" t="n"/>
      <c r="H72" s="2" t="n"/>
      <c r="I72" s="2" t="n"/>
      <c r="J72" s="2" t="n"/>
    </row>
    <row r="73">
      <c r="A73" s="5" t="inlineStr">
        <is>
          <t>ops.mill.biogas.rate.hourly</t>
        </is>
      </c>
      <c r="B73" t="inlineStr">
        <is>
          <t>Nm3/h</t>
        </is>
      </c>
      <c r="C73">
        <f>ops.mill.biogas.rate / 24</f>
        <v/>
      </c>
      <c r="D73" t="n">
        <v>0</v>
      </c>
      <c r="E73" s="7">
        <f>ROUND(C73,D73)</f>
        <v/>
      </c>
      <c r="F73">
        <f>IF(full_precision,C73,E73)</f>
        <v/>
      </c>
      <c r="G73" s="7" t="n">
        <v>469</v>
      </c>
      <c r="H73" s="8">
        <f>E73-G73</f>
        <v/>
      </c>
      <c r="I73" t="inlineStr">
        <is>
          <t>yes</t>
        </is>
      </c>
      <c r="J73" s="5" t="inlineStr">
        <is>
          <t>ops.mill.biogas.rate / 24</t>
        </is>
      </c>
    </row>
    <row r="74">
      <c r="A74" s="5" t="inlineStr">
        <is>
          <t>ops.cluster.biogas.rate</t>
        </is>
      </c>
      <c r="B74" t="inlineStr">
        <is>
          <t>Nm3/h</t>
        </is>
      </c>
      <c r="C74">
        <f>ops.mill.biogas.rate.hourly * _ops.cluster.mill.cnt</f>
        <v/>
      </c>
      <c r="D74" t="n">
        <v>0</v>
      </c>
      <c r="E74" s="7">
        <f>ROUND(C74,D74)</f>
        <v/>
      </c>
      <c r="F74">
        <f>IF(full_precision,C74,E74)</f>
        <v/>
      </c>
      <c r="G74" s="7" t="n">
        <v>1876</v>
      </c>
      <c r="H74" s="8">
        <f>E74-G74</f>
        <v/>
      </c>
      <c r="I74" t="inlineStr">
        <is>
          <t>yes</t>
        </is>
      </c>
      <c r="J74" s="5" t="inlineStr">
        <is>
          <t>ops.mill.biogas.rate.hourly * _ops.cluster.mill.cnt</t>
        </is>
      </c>
    </row>
    <row r="75">
      <c r="A75" s="5" t="inlineStr">
        <is>
          <t>finance.cluster.capital.amt</t>
        </is>
      </c>
      <c r="B75" t="inlineStr">
        <is>
          <t>USD M</t>
        </is>
      </c>
      <c r="C75">
        <f>_ops.upgrading.capital.amt.benchmark * (ops.cluster.biogas.rate / _ops.upgrading.capacity.rate.benchmark) ^ _finance.capital.scale.ratio / 1000000</f>
        <v/>
      </c>
      <c r="D75" t="n">
        <v>2</v>
      </c>
      <c r="E75" s="7">
        <f>ROUND(C75,D75)</f>
        <v/>
      </c>
      <c r="F75">
        <f>IF(full_precision,C75,E75)</f>
        <v/>
      </c>
      <c r="G75" s="7" t="n">
        <v>3.67</v>
      </c>
      <c r="H75" s="8">
        <f>E75-G75</f>
        <v/>
      </c>
      <c r="I75" t="inlineStr">
        <is>
          <t>yes</t>
        </is>
      </c>
      <c r="J75" s="5" t="inlineStr">
        <is>
          <t>_ops.upgrading.capital.amt.benchmark * (ops.cluster.biogas.rate / _ops.upgrading.capacity.rate.benchmark) ** _finance.capital.scale.ratio / 1000000</t>
        </is>
      </c>
    </row>
    <row r="76">
      <c r="A76" s="5" t="inlineStr">
        <is>
          <t>ops.hub.cluster.cnt.phase1</t>
        </is>
      </c>
      <c r="B76" t="inlineStr">
        <is>
          <t>clusters</t>
        </is>
      </c>
      <c r="C76">
        <f>ops.hub.mill.cnt.phase1 / _ops.cluster.mill.cnt</f>
        <v/>
      </c>
      <c r="D76" t="n">
        <v>2</v>
      </c>
      <c r="E76" s="7">
        <f>IF(full_precision,ROUND(C76,D76),3.92)</f>
        <v/>
      </c>
      <c r="F76">
        <f>IF(full_precision,C76,E76)</f>
        <v/>
      </c>
      <c r="G76" s="7" t="n">
        <v>3.92</v>
      </c>
      <c r="H76" s="8">
        <f>E76-G76</f>
        <v/>
      </c>
      <c r="I76" s="9" t="inlineStr">
        <is>
          <t>held to the memo</t>
        </is>
      </c>
      <c r="J76" s="5" t="inlineStr">
        <is>
          <t>ops.hub.mill.cnt.phase1 / _ops.cluster.mill.cnt</t>
        </is>
      </c>
    </row>
    <row r="77">
      <c r="A77" s="5" t="inlineStr">
        <is>
          <t>ops.hub.cluster.cnt.full</t>
        </is>
      </c>
      <c r="B77" t="inlineStr">
        <is>
          <t>clusters</t>
        </is>
      </c>
      <c r="C77">
        <f>ops.hub.mill.cnt.full / _ops.cluster.mill.cnt</f>
        <v/>
      </c>
      <c r="D77" t="n">
        <v>2</v>
      </c>
      <c r="E77" s="7">
        <f>ROUND(C77,D77)</f>
        <v/>
      </c>
      <c r="F77">
        <f>IF(full_precision,C77,E77)</f>
        <v/>
      </c>
      <c r="G77" s="7" t="n">
        <v>7.88</v>
      </c>
      <c r="H77" s="8">
        <f>E77-G77</f>
        <v/>
      </c>
      <c r="I77" t="inlineStr">
        <is>
          <t>yes</t>
        </is>
      </c>
      <c r="J77" s="5" t="inlineStr">
        <is>
          <t>ops.hub.mill.cnt.full / _ops.cluster.mill.cnt</t>
        </is>
      </c>
    </row>
    <row r="78">
      <c r="A78" s="5" t="inlineStr">
        <is>
          <t>finance.gathering.capital.amt.phase1</t>
        </is>
      </c>
      <c r="B78" t="inlineStr">
        <is>
          <t>USD M</t>
        </is>
      </c>
      <c r="C78">
        <f>ops.gathering.capital.rate * _ops.cluster.gathering.dur * ops.hub.cluster.cnt.phase1 / _finance.fx.thb.rate / 1000000</f>
        <v/>
      </c>
      <c r="D78" t="n">
        <v>2</v>
      </c>
      <c r="E78" s="7">
        <f>ROUND(C78,D78)</f>
        <v/>
      </c>
      <c r="F78">
        <f>IF(full_precision,C78,E78)</f>
        <v/>
      </c>
      <c r="G78" s="7" t="n">
        <v>1.24</v>
      </c>
      <c r="H78" s="8">
        <f>E78-G78</f>
        <v/>
      </c>
      <c r="I78" t="inlineStr">
        <is>
          <t>yes</t>
        </is>
      </c>
      <c r="J78" s="5" t="inlineStr">
        <is>
          <t>ops.gathering.capital.rate * _ops.cluster.gathering.dur * ops.hub.cluster.cnt.phase1 / _finance.fx.thb.rate / 1000000</t>
        </is>
      </c>
    </row>
    <row r="79">
      <c r="A79" s="5" t="inlineStr">
        <is>
          <t>finance.gathering.capital.amt.full</t>
        </is>
      </c>
      <c r="B79" t="inlineStr">
        <is>
          <t>USD M</t>
        </is>
      </c>
      <c r="C79">
        <f>ops.gathering.capital.rate * _ops.cluster.gathering.dur * ops.hub.cluster.cnt.full / _finance.fx.thb.rate / 1000000</f>
        <v/>
      </c>
      <c r="D79" t="n">
        <v>2</v>
      </c>
      <c r="E79" s="7">
        <f>ROUND(C79,D79)</f>
        <v/>
      </c>
      <c r="F79">
        <f>IF(full_precision,C79,E79)</f>
        <v/>
      </c>
      <c r="G79" s="7" t="n">
        <v>2.49</v>
      </c>
      <c r="H79" s="8">
        <f>E79-G79</f>
        <v/>
      </c>
      <c r="I79" t="inlineStr">
        <is>
          <t>yes</t>
        </is>
      </c>
      <c r="J79" s="5" t="inlineStr">
        <is>
          <t>ops.gathering.capital.rate * _ops.cluster.gathering.dur * ops.hub.cluster.cnt.full / _finance.fx.thb.rate / 1000000</t>
        </is>
      </c>
    </row>
    <row r="80">
      <c r="A80" s="5" t="inlineStr">
        <is>
          <t>finance.upgrading.capital.amt.phase1</t>
        </is>
      </c>
      <c r="B80" t="inlineStr">
        <is>
          <t>USD M</t>
        </is>
      </c>
      <c r="C80">
        <f>finance.cluster.capital.amt * ops.hub.cluster.cnt.phase1 + finance.gathering.capital.amt.phase1</f>
        <v/>
      </c>
      <c r="D80" t="n">
        <v>2</v>
      </c>
      <c r="E80" s="7">
        <f>ROUND(C80,D80)</f>
        <v/>
      </c>
      <c r="F80">
        <f>IF(full_precision,C80,E80)</f>
        <v/>
      </c>
      <c r="G80" s="7" t="n">
        <v>15.63</v>
      </c>
      <c r="H80" s="8">
        <f>E80-G80</f>
        <v/>
      </c>
      <c r="I80" t="inlineStr">
        <is>
          <t>yes</t>
        </is>
      </c>
      <c r="J80" s="5" t="inlineStr">
        <is>
          <t>finance.cluster.capital.amt * ops.hub.cluster.cnt.phase1 + finance.gathering.capital.amt.phase1</t>
        </is>
      </c>
    </row>
    <row r="81">
      <c r="A81" s="5" t="inlineStr">
        <is>
          <t>finance.upgrading.capital.amt.full</t>
        </is>
      </c>
      <c r="B81" t="inlineStr">
        <is>
          <t>USD M</t>
        </is>
      </c>
      <c r="C81">
        <f>finance.cluster.capital.amt * ops.hub.cluster.cnt.full + finance.gathering.capital.amt.full</f>
        <v/>
      </c>
      <c r="D81" t="n">
        <v>2</v>
      </c>
      <c r="E81" s="7">
        <f>ROUND(C81,D81)</f>
        <v/>
      </c>
      <c r="F81">
        <f>IF(full_precision,C81,E81)</f>
        <v/>
      </c>
      <c r="G81" s="7" t="n">
        <v>31.41</v>
      </c>
      <c r="H81" s="8">
        <f>E81-G81</f>
        <v/>
      </c>
      <c r="I81" t="inlineStr">
        <is>
          <t>yes</t>
        </is>
      </c>
      <c r="J81" s="5" t="inlineStr">
        <is>
          <t>finance.cluster.capital.amt * ops.hub.cluster.cnt.full + finance.gathering.capital.amt.full</t>
        </is>
      </c>
    </row>
    <row r="82">
      <c r="A82" s="5" t="inlineStr">
        <is>
          <t>finance.upgrading.capital.amt.phase1_unclustered</t>
        </is>
      </c>
      <c r="B82" t="inlineStr">
        <is>
          <t>USD M</t>
        </is>
      </c>
      <c r="C82">
        <f>_ops.upgrading.capital.amt.benchmark * (ops.mill.biogas.rate.hourly / _ops.upgrading.capacity.rate.benchmark) ^ _finance.capital.scale.ratio / 1000000 * ops.hub.mill.cnt.phase1</f>
        <v/>
      </c>
      <c r="D82" t="n">
        <v>2</v>
      </c>
      <c r="E82" s="7">
        <f>ROUND(C82,D82)</f>
        <v/>
      </c>
      <c r="F82">
        <f>IF(full_precision,C82,E82)</f>
        <v/>
      </c>
      <c r="G82" s="7" t="n">
        <v>25.08</v>
      </c>
      <c r="H82" s="8">
        <f>E82-G82</f>
        <v/>
      </c>
      <c r="I82" t="inlineStr">
        <is>
          <t>yes</t>
        </is>
      </c>
      <c r="J82" s="5" t="inlineStr">
        <is>
          <t>_ops.upgrading.capital.amt.benchmark * (ops.mill.biogas.rate.hourly / _ops.upgrading.capacity.rate.benchmark) ** _finance.capital.scale.ratio / 1000000 * ops.hub.mill.cnt.phase1</t>
        </is>
      </c>
    </row>
    <row r="83">
      <c r="A83" s="5" t="inlineStr">
        <is>
          <t>ops.hub.capacity.rate.client_product</t>
        </is>
      </c>
      <c r="B83" t="inlineStr">
        <is>
          <t>t/day</t>
        </is>
      </c>
      <c r="C83">
        <f>40 * ops.biomethane.density.rate / (_ops.methane.density.rate * _ops.biomethane.purity.pct)</f>
        <v/>
      </c>
      <c r="D83" t="n">
        <v>2</v>
      </c>
      <c r="E83" s="7">
        <f>ROUND(C83,D83)</f>
        <v/>
      </c>
      <c r="F83">
        <f>IF(full_precision,C83,E83)</f>
        <v/>
      </c>
      <c r="G83" s="7" t="n">
        <v>45.81</v>
      </c>
      <c r="H83" s="8">
        <f>E83-G83</f>
        <v/>
      </c>
      <c r="I83" t="inlineStr">
        <is>
          <t>yes</t>
        </is>
      </c>
      <c r="J83" s="5" t="inlineStr">
        <is>
          <t>40 * ops.biomethane.density.rate / (_ops.methane.density.rate * _ops.biomethane.purity.pct)</t>
        </is>
      </c>
    </row>
    <row r="84">
      <c r="A84" s="5" t="inlineStr">
        <is>
          <t>finance.liquefaction.capital.amt.phase1</t>
        </is>
      </c>
      <c r="B84" t="inlineStr">
        <is>
          <t>USD M</t>
        </is>
      </c>
      <c r="C84">
        <f>_finance.liquefaction.capital.amt.reference * (frame.hub.capacity.rate.phase1 / ops.hub.capacity.rate.client_product) ^ _finance.capital.scale.ratio</f>
        <v/>
      </c>
      <c r="D84" t="n">
        <v>2</v>
      </c>
      <c r="E84" s="7">
        <f>ROUND(C84,D84)</f>
        <v/>
      </c>
      <c r="F84">
        <f>IF(full_precision,C84,E84)</f>
        <v/>
      </c>
      <c r="G84" s="7" t="n">
        <v>11.81</v>
      </c>
      <c r="H84" s="8">
        <f>E84-G84</f>
        <v/>
      </c>
      <c r="I84" t="inlineStr">
        <is>
          <t>yes</t>
        </is>
      </c>
      <c r="J84" s="5" t="inlineStr">
        <is>
          <t>_finance.liquefaction.capital.amt.reference * (frame.hub.capacity.rate.phase1 / ops.hub.capacity.rate.client_product) ** _finance.capital.scale.ratio</t>
        </is>
      </c>
    </row>
    <row r="85">
      <c r="A85" s="5" t="inlineStr">
        <is>
          <t>finance.liquefaction.capital.amt.full</t>
        </is>
      </c>
      <c r="B85" t="inlineStr">
        <is>
          <t>USD M</t>
        </is>
      </c>
      <c r="C85">
        <f>_finance.liquefaction.capital.amt.reference * (frame.hub.capacity.rate.full / ops.hub.capacity.rate.client_product) ^ _finance.capital.scale.ratio</f>
        <v/>
      </c>
      <c r="D85" t="n">
        <v>2</v>
      </c>
      <c r="E85" s="7">
        <f>ROUND(C85,D85)</f>
        <v/>
      </c>
      <c r="F85">
        <f>IF(full_precision,C85,E85)</f>
        <v/>
      </c>
      <c r="G85" s="7" t="n">
        <v>17.89</v>
      </c>
      <c r="H85" s="8">
        <f>E85-G85</f>
        <v/>
      </c>
      <c r="I85" t="inlineStr">
        <is>
          <t>yes</t>
        </is>
      </c>
      <c r="J85" s="5" t="inlineStr">
        <is>
          <t>_finance.liquefaction.capital.amt.reference * (frame.hub.capacity.rate.full / ops.hub.capacity.rate.client_product) ** _finance.capital.scale.ratio</t>
        </is>
      </c>
    </row>
    <row r="86">
      <c r="A86" s="5" t="inlineStr">
        <is>
          <t>finance.compression.capital.amt.phase1</t>
        </is>
      </c>
      <c r="B86" t="inlineStr">
        <is>
          <t>USD M</t>
        </is>
      </c>
      <c r="C86">
        <f>_finance.compression.capital.rate * frame.hub.capacity.rate.phase1</f>
        <v/>
      </c>
      <c r="D86" t="n">
        <v>2</v>
      </c>
      <c r="E86" s="7">
        <f>ROUND(C86,D86)</f>
        <v/>
      </c>
      <c r="F86">
        <f>IF(full_precision,C86,E86)</f>
        <v/>
      </c>
      <c r="G86" s="7" t="n">
        <v>4.58</v>
      </c>
      <c r="H86" s="8">
        <f>E86-G86</f>
        <v/>
      </c>
      <c r="I86" t="inlineStr">
        <is>
          <t>yes</t>
        </is>
      </c>
      <c r="J86" s="5" t="inlineStr">
        <is>
          <t>_finance.compression.capital.rate * frame.hub.capacity.rate.phase1</t>
        </is>
      </c>
    </row>
    <row r="87">
      <c r="A87" s="5" t="inlineStr">
        <is>
          <t>finance.compression.capital.amt.full</t>
        </is>
      </c>
      <c r="B87" t="inlineStr">
        <is>
          <t>USD M</t>
        </is>
      </c>
      <c r="C87">
        <f>_finance.compression.capital.rate * frame.hub.capacity.rate.full</f>
        <v/>
      </c>
      <c r="D87" t="n">
        <v>2</v>
      </c>
      <c r="E87" s="7">
        <f>ROUND(C87,D87)</f>
        <v/>
      </c>
      <c r="F87">
        <f>IF(full_precision,C87,E87)</f>
        <v/>
      </c>
      <c r="G87" s="7" t="n">
        <v>9.16</v>
      </c>
      <c r="H87" s="8">
        <f>E87-G87</f>
        <v/>
      </c>
      <c r="I87" t="inlineStr">
        <is>
          <t>yes</t>
        </is>
      </c>
      <c r="J87" s="5" t="inlineStr">
        <is>
          <t>_finance.compression.capital.rate * frame.hub.capacity.rate.full</t>
        </is>
      </c>
    </row>
    <row r="88">
      <c r="A88" s="5" t="inlineStr">
        <is>
          <t>ops.hub.trailer.fleet.cnt.phase1</t>
        </is>
      </c>
      <c r="B88" t="inlineStr">
        <is>
          <t>trailers</t>
        </is>
      </c>
      <c r="C88">
        <f>ops.hub.trailer.cnt.phase1 / _ops.trailer.trip.rate * _ops.trailer.spare.ratio</f>
        <v/>
      </c>
      <c r="D88" t="n">
        <v>0</v>
      </c>
      <c r="E88" s="7">
        <f>ROUND(C88,D88)</f>
        <v/>
      </c>
      <c r="F88">
        <f>IF(full_precision,C88,E88)</f>
        <v/>
      </c>
      <c r="G88" s="7" t="n">
        <v>20</v>
      </c>
      <c r="H88" s="8">
        <f>E88-G88</f>
        <v/>
      </c>
      <c r="I88" t="inlineStr">
        <is>
          <t>yes</t>
        </is>
      </c>
      <c r="J88" s="5" t="inlineStr">
        <is>
          <t>ops.hub.trailer.cnt.phase1 / _ops.trailer.trip.rate * _ops.trailer.spare.ratio</t>
        </is>
      </c>
    </row>
    <row r="89">
      <c r="A89" s="5" t="inlineStr">
        <is>
          <t>finance.fleet.capital.amt.phase1</t>
        </is>
      </c>
      <c r="B89" t="inlineStr">
        <is>
          <t>USD M</t>
        </is>
      </c>
      <c r="C89">
        <f>ops.hub.trailer.fleet.cnt.phase1 * (ops.trailer.capital.amt + _ops.tractor.capital.amt) / _finance.fx.thb.rate / 1000000</f>
        <v/>
      </c>
      <c r="D89" t="n">
        <v>2</v>
      </c>
      <c r="E89" s="7">
        <f>ROUND(C89,D89)</f>
        <v/>
      </c>
      <c r="F89">
        <f>IF(full_precision,C89,E89)</f>
        <v/>
      </c>
      <c r="G89" s="7" t="n">
        <v>7.19</v>
      </c>
      <c r="H89" s="8">
        <f>E89-G89</f>
        <v/>
      </c>
      <c r="I89" t="inlineStr">
        <is>
          <t>yes</t>
        </is>
      </c>
      <c r="J89" s="5" t="inlineStr">
        <is>
          <t>ops.hub.trailer.fleet.cnt.phase1 * (ops.trailer.capital.amt + _ops.tractor.capital.amt) / _finance.fx.thb.rate / 1000000</t>
        </is>
      </c>
    </row>
    <row r="90">
      <c r="A90" s="5" t="inlineStr">
        <is>
          <t>finance.fleet.capital.amt.full</t>
        </is>
      </c>
      <c r="B90" t="inlineStr">
        <is>
          <t>USD M</t>
        </is>
      </c>
      <c r="C90">
        <f>finance.fleet.capital.amt.phase1 * 2</f>
        <v/>
      </c>
      <c r="D90" t="n">
        <v>2</v>
      </c>
      <c r="E90" s="7">
        <f>ROUND(C90,D90)</f>
        <v/>
      </c>
      <c r="F90">
        <f>IF(full_precision,C90,E90)</f>
        <v/>
      </c>
      <c r="G90" s="7" t="n">
        <v>14.38</v>
      </c>
      <c r="H90" s="8">
        <f>E90-G90</f>
        <v/>
      </c>
      <c r="I90" t="inlineStr">
        <is>
          <t>yes</t>
        </is>
      </c>
      <c r="J90" s="5" t="inlineStr">
        <is>
          <t>finance.fleet.capital.amt.phase1 * 2</t>
        </is>
      </c>
    </row>
    <row r="91">
      <c r="A91" s="5" t="inlineStr">
        <is>
          <t>finance.upgrading.capital.rate.client</t>
        </is>
      </c>
      <c r="B91" t="inlineStr">
        <is>
          <t>USD per Nm3/h</t>
        </is>
      </c>
      <c r="C91">
        <f>finance.upgrading.capital.amt.client_usd / ops.upgrading.capacity.rate.client</f>
        <v/>
      </c>
      <c r="D91" t="n">
        <v>2</v>
      </c>
      <c r="E91" s="7">
        <f>ROUND(C91,D91)</f>
        <v/>
      </c>
      <c r="F91">
        <f>IF(full_precision,C91,E91)</f>
        <v/>
      </c>
      <c r="G91" s="7" t="n">
        <v>419.72</v>
      </c>
      <c r="H91" s="8">
        <f>E91-G91</f>
        <v/>
      </c>
      <c r="I91" t="inlineStr">
        <is>
          <t>yes</t>
        </is>
      </c>
      <c r="J91" s="5" t="inlineStr">
        <is>
          <t>finance.upgrading.capital.amt.client_usd / ops.upgrading.capacity.rate.client</t>
        </is>
      </c>
    </row>
    <row r="92">
      <c r="A92" s="5" t="inlineStr">
        <is>
          <t>finance.cluster.capital.amt.client</t>
        </is>
      </c>
      <c r="B92" t="inlineStr">
        <is>
          <t>USD M</t>
        </is>
      </c>
      <c r="C92">
        <f>finance.upgrading.capital.rate.client * ops.cluster.biogas.rate / 1000000</f>
        <v/>
      </c>
      <c r="D92" t="n">
        <v>2</v>
      </c>
      <c r="E92" s="7">
        <f>ROUND(C92,D92)</f>
        <v/>
      </c>
      <c r="F92">
        <f>IF(full_precision,C92,E92)</f>
        <v/>
      </c>
      <c r="G92" s="7" t="n">
        <v>0.79</v>
      </c>
      <c r="H92" s="8">
        <f>E92-G92</f>
        <v/>
      </c>
      <c r="I92" t="inlineStr">
        <is>
          <t>yes</t>
        </is>
      </c>
      <c r="J92" s="5" t="inlineStr">
        <is>
          <t>finance.upgrading.capital.rate.client * ops.cluster.biogas.rate / 1000000</t>
        </is>
      </c>
    </row>
    <row r="93">
      <c r="A93" s="5" t="inlineStr">
        <is>
          <t>finance.upgrading.capital.amt.phase1_client</t>
        </is>
      </c>
      <c r="B93" t="inlineStr">
        <is>
          <t>USD M</t>
        </is>
      </c>
      <c r="C93">
        <f>finance.cluster.capital.amt.client * ops.hub.cluster.cnt.phase1 + finance.gathering.capital.amt.phase1</f>
        <v/>
      </c>
      <c r="D93" t="n">
        <v>2</v>
      </c>
      <c r="E93" s="7">
        <f>ROUND(C93,D93)</f>
        <v/>
      </c>
      <c r="F93">
        <f>IF(full_precision,C93,E93)</f>
        <v/>
      </c>
      <c r="G93" s="7" t="n">
        <v>4.34</v>
      </c>
      <c r="H93" s="8">
        <f>E93-G93</f>
        <v/>
      </c>
      <c r="I93" t="inlineStr">
        <is>
          <t>yes</t>
        </is>
      </c>
      <c r="J93" s="5" t="inlineStr">
        <is>
          <t>finance.cluster.capital.amt.client * ops.hub.cluster.cnt.phase1 + finance.gathering.capital.amt.phase1</t>
        </is>
      </c>
    </row>
    <row r="94">
      <c r="A94" s="5" t="inlineStr">
        <is>
          <t>finance.upgrading.capital.amt.full_client</t>
        </is>
      </c>
      <c r="B94" t="inlineStr">
        <is>
          <t>USD M</t>
        </is>
      </c>
      <c r="C94">
        <f>finance.cluster.capital.amt.client * ops.hub.cluster.cnt.full + finance.gathering.capital.amt.full</f>
        <v/>
      </c>
      <c r="D94" t="n">
        <v>2</v>
      </c>
      <c r="E94" s="7">
        <f>ROUND(C94,D94)</f>
        <v/>
      </c>
      <c r="F94">
        <f>IF(full_precision,C94,E94)</f>
        <v/>
      </c>
      <c r="G94" s="7" t="n">
        <v>8.720000000000001</v>
      </c>
      <c r="H94" s="8">
        <f>E94-G94</f>
        <v/>
      </c>
      <c r="I94" t="inlineStr">
        <is>
          <t>yes</t>
        </is>
      </c>
      <c r="J94" s="5" t="inlineStr">
        <is>
          <t>finance.cluster.capital.amt.client * ops.hub.cluster.cnt.full + finance.gathering.capital.amt.full</t>
        </is>
      </c>
    </row>
    <row r="95">
      <c r="A95" s="5" t="inlineStr">
        <is>
          <t>ops.hub.scrubber.unit.cnt.phase1</t>
        </is>
      </c>
      <c r="B95" t="inlineStr">
        <is>
          <t>units</t>
        </is>
      </c>
      <c r="C95">
        <f>ops.mill.biogas.rate * ops.hub.mill.cnt.phase1 / ops.desulfurization.biogas.rate</f>
        <v/>
      </c>
      <c r="D95" t="n">
        <v>1</v>
      </c>
      <c r="E95" s="7">
        <f>ROUND(C95,D95)</f>
        <v/>
      </c>
      <c r="F95">
        <f>IF(full_precision,C95,E95)</f>
        <v/>
      </c>
      <c r="G95" s="7" t="n">
        <v>19.9</v>
      </c>
      <c r="H95" s="8">
        <f>E95-G95</f>
        <v/>
      </c>
      <c r="I95" t="inlineStr">
        <is>
          <t>yes</t>
        </is>
      </c>
      <c r="J95" s="5" t="inlineStr">
        <is>
          <t>ops.mill.biogas.rate * ops.hub.mill.cnt.phase1 / ops.desulfurization.biogas.rate</t>
        </is>
      </c>
    </row>
    <row r="96">
      <c r="A96" s="5" t="inlineStr">
        <is>
          <t>finance.desulfurization.capital.amt.phase1</t>
        </is>
      </c>
      <c r="B96" t="inlineStr">
        <is>
          <t>USD M</t>
        </is>
      </c>
      <c r="C96">
        <f>ops.hub.scrubber.unit.cnt.phase1 * ops.desulfurization.capital.amt / 1000000</f>
        <v/>
      </c>
      <c r="D96" t="n">
        <v>2</v>
      </c>
      <c r="E96" s="7">
        <f>IF(full_precision,ROUND(C96,D96),4.97)</f>
        <v/>
      </c>
      <c r="F96">
        <f>IF(full_precision,C96,E96)</f>
        <v/>
      </c>
      <c r="G96" s="7" t="n">
        <v>4.97</v>
      </c>
      <c r="H96" s="8">
        <f>E96-G96</f>
        <v/>
      </c>
      <c r="I96" s="9" t="inlineStr">
        <is>
          <t>held to the memo</t>
        </is>
      </c>
      <c r="J96" s="5" t="inlineStr">
        <is>
          <t>ops.hub.scrubber.unit.cnt.phase1 * ops.desulfurization.capital.amt / 1000000</t>
        </is>
      </c>
    </row>
    <row r="97">
      <c r="A97" s="5" t="inlineStr">
        <is>
          <t>finance.desulfurization.capital.amt.full</t>
        </is>
      </c>
      <c r="B97" t="inlineStr">
        <is>
          <t>USD M</t>
        </is>
      </c>
      <c r="C97">
        <f>finance.desulfurization.capital.amt.phase1 * 2</f>
        <v/>
      </c>
      <c r="D97" t="n">
        <v>2</v>
      </c>
      <c r="E97" s="7">
        <f>ROUND(C97,D97)</f>
        <v/>
      </c>
      <c r="F97">
        <f>IF(full_precision,C97,E97)</f>
        <v/>
      </c>
      <c r="G97" s="7" t="n">
        <v>9.94</v>
      </c>
      <c r="H97" s="8">
        <f>E97-G97</f>
        <v/>
      </c>
      <c r="I97" t="inlineStr">
        <is>
          <t>yes</t>
        </is>
      </c>
      <c r="J97" s="5" t="inlineStr">
        <is>
          <t>finance.desulfurization.capital.amt.phase1 * 2</t>
        </is>
      </c>
    </row>
    <row r="98">
      <c r="A98" s="5" t="inlineStr">
        <is>
          <t>finance.initiative.capital.amt.marine_phase1</t>
        </is>
      </c>
      <c r="B98" t="inlineStr">
        <is>
          <t>USD M</t>
        </is>
      </c>
      <c r="C98">
        <f>finance.upgrading.capital.amt.phase1 + finance.liquefaction.capital.amt.phase1 + finance.compression.capital.amt.phase1 + finance.fleet.capital.amt.phase1 + finance.desulfurization.capital.amt.phase1</f>
        <v/>
      </c>
      <c r="D98" t="n">
        <v>2</v>
      </c>
      <c r="E98" s="7">
        <f>ROUND(C98,D98)</f>
        <v/>
      </c>
      <c r="F98">
        <f>IF(full_precision,C98,E98)</f>
        <v/>
      </c>
      <c r="G98" s="7" t="n">
        <v>44.18</v>
      </c>
      <c r="H98" s="8">
        <f>E98-G98</f>
        <v/>
      </c>
      <c r="I98" t="inlineStr">
        <is>
          <t>yes</t>
        </is>
      </c>
      <c r="J98" s="5" t="inlineStr">
        <is>
          <t>finance.upgrading.capital.amt.phase1 + finance.liquefaction.capital.amt.phase1 + finance.compression.capital.amt.phase1 + finance.fleet.capital.amt.phase1 + finance.desulfurization.capital.amt.phase1</t>
        </is>
      </c>
    </row>
    <row r="99">
      <c r="A99" s="5" t="inlineStr">
        <is>
          <t>finance.initiative.capital.amt.marine_phase1_client</t>
        </is>
      </c>
      <c r="B99" t="inlineStr">
        <is>
          <t>USD M</t>
        </is>
      </c>
      <c r="C99">
        <f>finance.upgrading.capital.amt.phase1_client + finance.liquefaction.capital.amt.phase1 + finance.compression.capital.amt.phase1 + finance.fleet.capital.amt.phase1 + finance.desulfurization.capital.amt.phase1</f>
        <v/>
      </c>
      <c r="D99" t="n">
        <v>2</v>
      </c>
      <c r="E99" s="7">
        <f>ROUND(C99,D99)</f>
        <v/>
      </c>
      <c r="F99">
        <f>IF(full_precision,C99,E99)</f>
        <v/>
      </c>
      <c r="G99" s="7" t="n">
        <v>32.89</v>
      </c>
      <c r="H99" s="8">
        <f>E99-G99</f>
        <v/>
      </c>
      <c r="I99" t="inlineStr">
        <is>
          <t>yes</t>
        </is>
      </c>
      <c r="J99" s="5" t="inlineStr">
        <is>
          <t>finance.upgrading.capital.amt.phase1_client + finance.liquefaction.capital.amt.phase1 + finance.compression.capital.amt.phase1 + finance.fleet.capital.amt.phase1 + finance.desulfurization.capital.amt.phase1</t>
        </is>
      </c>
    </row>
    <row r="100">
      <c r="A100" s="5" t="inlineStr">
        <is>
          <t>finance.initiative.capital.amt.pipeline_phase1</t>
        </is>
      </c>
      <c r="B100" t="inlineStr">
        <is>
          <t>USD M</t>
        </is>
      </c>
      <c r="C100">
        <f>finance.upgrading.capital.amt.phase1 + finance.compression.capital.amt.phase1 + finance.fleet.capital.amt.phase1 + finance.desulfurization.capital.amt.phase1</f>
        <v/>
      </c>
      <c r="D100" t="n">
        <v>2</v>
      </c>
      <c r="E100" s="7">
        <f>ROUND(C100,D100)</f>
        <v/>
      </c>
      <c r="F100">
        <f>IF(full_precision,C100,E100)</f>
        <v/>
      </c>
      <c r="G100" s="7" t="n">
        <v>32.37</v>
      </c>
      <c r="H100" s="8">
        <f>E100-G100</f>
        <v/>
      </c>
      <c r="I100" t="inlineStr">
        <is>
          <t>yes</t>
        </is>
      </c>
      <c r="J100" s="5" t="inlineStr">
        <is>
          <t>finance.upgrading.capital.amt.phase1 + finance.compression.capital.amt.phase1 + finance.fleet.capital.amt.phase1 + finance.desulfurization.capital.amt.phase1</t>
        </is>
      </c>
    </row>
    <row r="101">
      <c r="A101" s="5" t="inlineStr">
        <is>
          <t>finance.initiative.capital.amt.pipeline_phase1_client</t>
        </is>
      </c>
      <c r="B101" t="inlineStr">
        <is>
          <t>USD M</t>
        </is>
      </c>
      <c r="C101">
        <f>finance.upgrading.capital.amt.phase1_client + finance.compression.capital.amt.phase1 + finance.fleet.capital.amt.phase1 + finance.desulfurization.capital.amt.phase1</f>
        <v/>
      </c>
      <c r="D101" t="n">
        <v>2</v>
      </c>
      <c r="E101" s="7">
        <f>ROUND(C101,D101)</f>
        <v/>
      </c>
      <c r="F101">
        <f>IF(full_precision,C101,E101)</f>
        <v/>
      </c>
      <c r="G101" s="7" t="n">
        <v>21.08</v>
      </c>
      <c r="H101" s="8">
        <f>E101-G101</f>
        <v/>
      </c>
      <c r="I101" t="inlineStr">
        <is>
          <t>yes</t>
        </is>
      </c>
      <c r="J101" s="5" t="inlineStr">
        <is>
          <t>finance.upgrading.capital.amt.phase1_client + finance.compression.capital.amt.phase1 + finance.fleet.capital.amt.phase1 + finance.desulfurization.capital.amt.phase1</t>
        </is>
      </c>
    </row>
    <row r="102">
      <c r="A102" s="5" t="inlineStr">
        <is>
          <t>finance.initiative.capital.amt.marine_full</t>
        </is>
      </c>
      <c r="B102" t="inlineStr">
        <is>
          <t>USD M</t>
        </is>
      </c>
      <c r="C102">
        <f>finance.upgrading.capital.amt.full + finance.liquefaction.capital.amt.full + finance.compression.capital.amt.full + finance.fleet.capital.amt.full + finance.desulfurization.capital.amt.full</f>
        <v/>
      </c>
      <c r="D102" t="n">
        <v>2</v>
      </c>
      <c r="E102" s="7">
        <f>ROUND(C102,D102)</f>
        <v/>
      </c>
      <c r="F102">
        <f>IF(full_precision,C102,E102)</f>
        <v/>
      </c>
      <c r="G102" s="7" t="n">
        <v>82.78</v>
      </c>
      <c r="H102" s="8">
        <f>E102-G102</f>
        <v/>
      </c>
      <c r="I102" t="inlineStr">
        <is>
          <t>yes</t>
        </is>
      </c>
      <c r="J102" s="5" t="inlineStr">
        <is>
          <t>finance.upgrading.capital.amt.full + finance.liquefaction.capital.amt.full + finance.compression.capital.amt.full + finance.fleet.capital.amt.full + finance.desulfurization.capital.amt.full</t>
        </is>
      </c>
    </row>
    <row r="103">
      <c r="A103" s="5" t="inlineStr">
        <is>
          <t>finance.initiative.capital.amt.pipeline_full</t>
        </is>
      </c>
      <c r="B103" t="inlineStr">
        <is>
          <t>USD M</t>
        </is>
      </c>
      <c r="C103">
        <f>finance.upgrading.capital.amt.full + finance.compression.capital.amt.full + finance.fleet.capital.amt.full + finance.desulfurization.capital.amt.full</f>
        <v/>
      </c>
      <c r="D103" t="n">
        <v>2</v>
      </c>
      <c r="E103" s="7">
        <f>ROUND(C103,D103)</f>
        <v/>
      </c>
      <c r="F103">
        <f>IF(full_precision,C103,E103)</f>
        <v/>
      </c>
      <c r="G103" s="7" t="n">
        <v>64.89</v>
      </c>
      <c r="H103" s="8">
        <f>E103-G103</f>
        <v/>
      </c>
      <c r="I103" t="inlineStr">
        <is>
          <t>yes</t>
        </is>
      </c>
      <c r="J103" s="5" t="inlineStr">
        <is>
          <t>finance.upgrading.capital.amt.full + finance.compression.capital.amt.full + finance.fleet.capital.amt.full + finance.desulfurization.capital.amt.full</t>
        </is>
      </c>
    </row>
    <row r="104">
      <c r="A104" s="5" t="inlineStr">
        <is>
          <t>ops.hub.energy.rate.phase1</t>
        </is>
      </c>
      <c r="B104" t="inlineStr">
        <is>
          <t>MMBtu/yr</t>
        </is>
      </c>
      <c r="C104">
        <f>frame.hub.capacity.rate.phase1 * ops.biomethane.energy.rate.mass * _ops.plant.uptime.cnt * _ops.feedstock.availability.pct</f>
        <v/>
      </c>
      <c r="D104" t="n">
        <v>0</v>
      </c>
      <c r="E104" s="7">
        <f>IF(full_precision,ROUND(C104,D104),1298434)</f>
        <v/>
      </c>
      <c r="F104">
        <f>IF(full_precision,C104,E104)</f>
        <v/>
      </c>
      <c r="G104" s="7" t="n">
        <v>1298434</v>
      </c>
      <c r="H104" s="8">
        <f>E104-G104</f>
        <v/>
      </c>
      <c r="I104" s="9" t="inlineStr">
        <is>
          <t>held to the memo</t>
        </is>
      </c>
      <c r="J104" s="5" t="inlineStr">
        <is>
          <t>frame.hub.capacity.rate.phase1 * ops.biomethane.energy.rate.mass * _ops.plant.uptime.cnt * _ops.feedstock.availability.pct</t>
        </is>
      </c>
    </row>
    <row r="105">
      <c r="A105" s="5" t="inlineStr">
        <is>
          <t>finance.initiative.revenue.amt.phase1</t>
        </is>
      </c>
      <c r="B105" t="inlineStr">
        <is>
          <t>USD M/yr</t>
        </is>
      </c>
      <c r="C105">
        <f>ops.hub.energy.rate.phase1 * frame.offtake.price.amt / 1000000</f>
        <v/>
      </c>
      <c r="D105" t="n">
        <v>2</v>
      </c>
      <c r="E105" s="7">
        <f>ROUND(C105,D105)</f>
        <v/>
      </c>
      <c r="F105">
        <f>IF(full_precision,C105,E105)</f>
        <v/>
      </c>
      <c r="G105" s="7" t="n">
        <v>25.97</v>
      </c>
      <c r="H105" s="8">
        <f>E105-G105</f>
        <v/>
      </c>
      <c r="I105" t="inlineStr">
        <is>
          <t>yes</t>
        </is>
      </c>
      <c r="J105" s="5" t="inlineStr">
        <is>
          <t>ops.hub.energy.rate.phase1 * frame.offtake.price.amt / 1000000</t>
        </is>
      </c>
    </row>
    <row r="106">
      <c r="A106" s="1" t="inlineStr">
        <is>
          <t>Delivered cost by route</t>
        </is>
      </c>
      <c r="B106" s="2" t="n"/>
      <c r="C106" s="2" t="n"/>
      <c r="D106" s="2" t="n"/>
      <c r="E106" s="2" t="n"/>
      <c r="F106" s="2" t="n"/>
      <c r="G106" s="2" t="n"/>
      <c r="H106" s="2" t="n"/>
      <c r="I106" s="2" t="n"/>
      <c r="J106" s="2" t="n"/>
    </row>
    <row r="107">
      <c r="A107" s="5" t="inlineStr">
        <is>
          <t>ops.biogas.sulfur.rate.polish</t>
        </is>
      </c>
      <c r="B107" t="inlineStr">
        <is>
          <t>mg/Nm3</t>
        </is>
      </c>
      <c r="C107">
        <f>ops.biogas.sulfur.rate * (1 - _ops.desulfurization.removal.pct)</f>
        <v/>
      </c>
      <c r="D107" t="n">
        <v>2</v>
      </c>
      <c r="E107" s="7">
        <f>ROUND(C107,D107)</f>
        <v/>
      </c>
      <c r="F107">
        <f>IF(full_precision,C107,E107)</f>
        <v/>
      </c>
      <c r="G107" s="7" t="n">
        <v>36.78</v>
      </c>
      <c r="H107" s="8">
        <f>E107-G107</f>
        <v/>
      </c>
      <c r="I107" t="inlineStr">
        <is>
          <t>yes</t>
        </is>
      </c>
      <c r="J107" s="5" t="inlineStr">
        <is>
          <t>ops.biogas.sulfur.rate * (1 - _ops.desulfurization.removal.pct)</t>
        </is>
      </c>
    </row>
    <row r="108">
      <c r="A108" s="5" t="inlineStr">
        <is>
          <t>ops.media.consumption.rate</t>
        </is>
      </c>
      <c r="B108" t="inlineStr">
        <is>
          <t>kg media/Nm3 biogas</t>
        </is>
      </c>
      <c r="C108">
        <f>ops.biogas.sulfur.rate.polish / ops.media.capacity.rate / 1000</f>
        <v/>
      </c>
      <c r="D108" t="n">
        <v>6</v>
      </c>
      <c r="E108" s="7">
        <f>ROUND(C108,D108)</f>
        <v/>
      </c>
      <c r="F108">
        <f>IF(full_precision,C108,E108)</f>
        <v/>
      </c>
      <c r="G108" s="7" t="n">
        <v>0.000245</v>
      </c>
      <c r="H108" s="8">
        <f>E108-G108</f>
        <v/>
      </c>
      <c r="I108" t="inlineStr">
        <is>
          <t>yes</t>
        </is>
      </c>
      <c r="J108" s="5" t="inlineStr">
        <is>
          <t>ops.biogas.sulfur.rate.polish / ops.media.capacity.rate / 1000</t>
        </is>
      </c>
    </row>
    <row r="109">
      <c r="A109" s="5" t="inlineStr">
        <is>
          <t>finance.unit.cost.media.amt</t>
        </is>
      </c>
      <c r="B109" t="inlineStr">
        <is>
          <t>USD/MMBtu</t>
        </is>
      </c>
      <c r="C109">
        <f>ops.media.consumption.rate * _ops.media.price.amt / _finance.fx.thb.rate * ops.biogas.requirement.rate</f>
        <v/>
      </c>
      <c r="D109" t="n">
        <v>3</v>
      </c>
      <c r="E109" s="7">
        <f>ROUND(C109,D109)</f>
        <v/>
      </c>
      <c r="F109">
        <f>IF(full_precision,C109,E109)</f>
        <v/>
      </c>
      <c r="G109" s="7" t="n">
        <v>0.011</v>
      </c>
      <c r="H109" s="8">
        <f>E109-G109</f>
        <v/>
      </c>
      <c r="I109" t="inlineStr">
        <is>
          <t>yes</t>
        </is>
      </c>
      <c r="J109" s="5" t="inlineStr">
        <is>
          <t>ops.media.consumption.rate * _ops.media.price.amt / _finance.fx.thb.rate * ops.biogas.requirement.rate</t>
        </is>
      </c>
    </row>
    <row r="110">
      <c r="A110" s="5" t="inlineStr">
        <is>
          <t>ops.hub.labor.amt.phase1</t>
        </is>
      </c>
      <c r="B110" t="inlineStr">
        <is>
          <t>USD M/yr</t>
        </is>
      </c>
      <c r="C110">
        <f>ops.mill.labor.amt * ops.hub.mill.cnt.phase1 / _finance.fx.thb.rate / 1000000</f>
        <v/>
      </c>
      <c r="D110" t="n">
        <v>3</v>
      </c>
      <c r="E110" s="7">
        <f>ROUND(C110,D110)</f>
        <v/>
      </c>
      <c r="F110">
        <f>IF(full_precision,C110,E110)</f>
        <v/>
      </c>
      <c r="G110" s="7" t="n">
        <v>0.451</v>
      </c>
      <c r="H110" s="8">
        <f>E110-G110</f>
        <v/>
      </c>
      <c r="I110" t="inlineStr">
        <is>
          <t>yes</t>
        </is>
      </c>
      <c r="J110" s="5" t="inlineStr">
        <is>
          <t>ops.mill.labor.amt * ops.hub.mill.cnt.phase1 / _finance.fx.thb.rate / 1000000</t>
        </is>
      </c>
    </row>
    <row r="111">
      <c r="A111" s="5" t="inlineStr">
        <is>
          <t>ops.hub.scrubber.cnt.phase1</t>
        </is>
      </c>
      <c r="B111" t="inlineStr">
        <is>
          <t>units</t>
        </is>
      </c>
      <c r="C111">
        <f>frame.hub.capacity.rate.phase1 / ops.mill.biomethane.rate.mass</f>
        <v/>
      </c>
      <c r="D111" t="n">
        <v>1</v>
      </c>
      <c r="E111" s="7">
        <f>ROUND(C111,D111)</f>
        <v/>
      </c>
      <c r="F111">
        <f>IF(full_precision,C111,E111)</f>
        <v/>
      </c>
      <c r="G111" s="7" t="n">
        <v>20.5</v>
      </c>
      <c r="H111" s="8">
        <f>E111-G111</f>
        <v/>
      </c>
      <c r="I111" t="inlineStr">
        <is>
          <t>yes</t>
        </is>
      </c>
      <c r="J111" s="5" t="inlineStr">
        <is>
          <t>frame.hub.capacity.rate.phase1 / ops.mill.biomethane.rate.mass</t>
        </is>
      </c>
    </row>
    <row r="112">
      <c r="A112" s="5" t="inlineStr">
        <is>
          <t>finance.unit.cost.labor.amt</t>
        </is>
      </c>
      <c r="B112" t="inlineStr">
        <is>
          <t>USD/MMBtu</t>
        </is>
      </c>
      <c r="C112">
        <f>ops.hub.labor.amt.phase1 * 1000000 / ops.hub.energy.rate.phase1</f>
        <v/>
      </c>
      <c r="D112" t="n">
        <v>3</v>
      </c>
      <c r="E112" s="7">
        <f>ROUND(C112,D112)</f>
        <v/>
      </c>
      <c r="F112">
        <f>IF(full_precision,C112,E112)</f>
        <v/>
      </c>
      <c r="G112" s="7" t="n">
        <v>0.347</v>
      </c>
      <c r="H112" s="8">
        <f>E112-G112</f>
        <v/>
      </c>
      <c r="I112" t="inlineStr">
        <is>
          <t>yes</t>
        </is>
      </c>
      <c r="J112" s="5" t="inlineStr">
        <is>
          <t>ops.hub.labor.amt.phase1 * 1000000 / ops.hub.energy.rate.phase1</t>
        </is>
      </c>
    </row>
    <row r="113">
      <c r="A113" s="5" t="inlineStr">
        <is>
          <t>finance.unit.cost.maintenance.amt</t>
        </is>
      </c>
      <c r="B113" t="inlineStr">
        <is>
          <t>USD/MMBtu</t>
        </is>
      </c>
      <c r="C113">
        <f>(finance.upgrading.capital.amt.phase1 + finance.compression.capital.amt.phase1) * _finance.plant.maintenance.pct * 1000000 / ops.hub.energy.rate.phase1</f>
        <v/>
      </c>
      <c r="D113" t="n">
        <v>1</v>
      </c>
      <c r="E113" s="7">
        <f>ROUND(C113,D113)</f>
        <v/>
      </c>
      <c r="F113">
        <f>IF(full_precision,C113,E113)</f>
        <v/>
      </c>
      <c r="G113" s="7" t="n">
        <v>0.7</v>
      </c>
      <c r="H113" s="8">
        <f>E113-G113</f>
        <v/>
      </c>
      <c r="I113" t="inlineStr">
        <is>
          <t>yes</t>
        </is>
      </c>
      <c r="J113" s="5" t="inlineStr">
        <is>
          <t>(finance.upgrading.capital.amt.phase1 + finance.compression.capital.amt.phase1) * _finance.plant.maintenance.pct * 1000000 / ops.hub.energy.rate.phase1</t>
        </is>
      </c>
    </row>
    <row r="114">
      <c r="A114" s="5" t="inlineStr">
        <is>
          <t>finance.unit.cost.upgrading_other.amt</t>
        </is>
      </c>
      <c r="B114" t="inlineStr">
        <is>
          <t>USD/MMBtu</t>
        </is>
      </c>
      <c r="C114">
        <f>finance.unit.cost.media.amt + finance.unit.cost.labor.amt + finance.unit.cost.maintenance.amt + finance.unit.cost.desulfurization.amt</f>
        <v/>
      </c>
      <c r="D114" t="n">
        <v>2</v>
      </c>
      <c r="E114" s="7">
        <f>ROUND(C114,D114)</f>
        <v/>
      </c>
      <c r="F114">
        <f>IF(full_precision,C114,E114)</f>
        <v/>
      </c>
      <c r="G114" s="7" t="n">
        <v>1.18</v>
      </c>
      <c r="H114" s="8">
        <f>E114-G114</f>
        <v/>
      </c>
      <c r="I114" t="inlineStr">
        <is>
          <t>yes</t>
        </is>
      </c>
      <c r="J114" s="5" t="inlineStr">
        <is>
          <t>finance.unit.cost.media.amt + finance.unit.cost.labor.amt + finance.unit.cost.maintenance.amt + finance.unit.cost.desulfurization.amt</t>
        </is>
      </c>
    </row>
    <row r="115">
      <c r="A115" s="5" t="inlineStr">
        <is>
          <t>finance.unit.cost.collection.amt</t>
        </is>
      </c>
      <c r="B115" t="inlineStr">
        <is>
          <t>USD/MMBtu</t>
        </is>
      </c>
      <c r="C115">
        <f>finance.unit.cost.collection.amt.derived * 1</f>
        <v/>
      </c>
      <c r="D115" t="n">
        <v>2</v>
      </c>
      <c r="E115" s="7">
        <f>ROUND(C115,D115)</f>
        <v/>
      </c>
      <c r="F115">
        <f>IF(full_precision,C115,E115)</f>
        <v/>
      </c>
      <c r="G115" s="7" t="n">
        <v>1.51</v>
      </c>
      <c r="H115" s="8">
        <f>E115-G115</f>
        <v/>
      </c>
      <c r="I115" t="inlineStr">
        <is>
          <t>yes</t>
        </is>
      </c>
      <c r="J115" s="5" t="inlineStr">
        <is>
          <t>finance.unit.cost.collection.amt.derived * 1</t>
        </is>
      </c>
    </row>
    <row r="116">
      <c r="A116" s="5" t="inlineStr">
        <is>
          <t>finance.unit.cost.collection.ratio.check</t>
        </is>
      </c>
      <c r="B116" t="inlineStr">
        <is>
          <t>ratio</t>
        </is>
      </c>
      <c r="C116">
        <f>finance.unit.cost.collection.amt / finance.unit.cost.collection.amt.published</f>
        <v/>
      </c>
      <c r="D116" t="n">
        <v>3</v>
      </c>
      <c r="E116" s="7">
        <f>ROUND(C116,D116)</f>
        <v/>
      </c>
      <c r="F116">
        <f>IF(full_precision,C116,E116)</f>
        <v/>
      </c>
      <c r="G116" s="7" t="n">
        <v>0.755</v>
      </c>
      <c r="H116" s="8">
        <f>E116-G116</f>
        <v/>
      </c>
      <c r="I116" t="inlineStr">
        <is>
          <t>yes</t>
        </is>
      </c>
      <c r="J116" s="5" t="inlineStr">
        <is>
          <t>finance.unit.cost.collection.amt / finance.unit.cost.collection.amt.published</t>
        </is>
      </c>
    </row>
    <row r="117">
      <c r="A117" s="5" t="inlineStr">
        <is>
          <t>finance.unit.cost.plant_gate.amt</t>
        </is>
      </c>
      <c r="B117" t="inlineStr">
        <is>
          <t>USD/MMBtu</t>
        </is>
      </c>
      <c r="C117">
        <f>finance.unit.cost.feedstock.amt + finance.unit.cost.upgrading_power.amt + finance.unit.cost.upgrading_other.amt + finance.unit.cost.collection.amt</f>
        <v/>
      </c>
      <c r="D117" t="n">
        <v>2</v>
      </c>
      <c r="E117" s="7">
        <f>ROUND(C117,D117)</f>
        <v/>
      </c>
      <c r="F117">
        <f>IF(full_precision,C117,E117)</f>
        <v/>
      </c>
      <c r="G117" s="7" t="n">
        <v>10.33</v>
      </c>
      <c r="H117" s="8">
        <f>E117-G117</f>
        <v/>
      </c>
      <c r="I117" t="inlineStr">
        <is>
          <t>yes</t>
        </is>
      </c>
      <c r="J117" s="5" t="inlineStr">
        <is>
          <t>finance.unit.cost.feedstock.amt + finance.unit.cost.upgrading_power.amt + finance.unit.cost.upgrading_other.amt + finance.unit.cost.collection.amt</t>
        </is>
      </c>
    </row>
    <row r="118">
      <c r="A118" s="5" t="inlineStr">
        <is>
          <t>finance.unit.cost.route.amt.marine</t>
        </is>
      </c>
      <c r="B118" t="inlineStr">
        <is>
          <t>USD/MMBtu</t>
        </is>
      </c>
      <c r="C118">
        <f>ops.route.liquefaction.cost.amt + ops.route.marine.cost.amt + finance.unit.cost.terminal.amt</f>
        <v/>
      </c>
      <c r="D118" t="n">
        <v>2</v>
      </c>
      <c r="E118" s="7">
        <f>ROUND(C118,D118)</f>
        <v/>
      </c>
      <c r="F118">
        <f>IF(full_precision,C118,E118)</f>
        <v/>
      </c>
      <c r="G118" s="7" t="n">
        <v>6.15</v>
      </c>
      <c r="H118" s="8">
        <f>E118-G118</f>
        <v/>
      </c>
      <c r="I118" t="inlineStr">
        <is>
          <t>yes</t>
        </is>
      </c>
      <c r="J118" s="5" t="inlineStr">
        <is>
          <t>ops.route.liquefaction.cost.amt + ops.route.marine.cost.amt + finance.unit.cost.terminal.amt</t>
        </is>
      </c>
    </row>
    <row r="119">
      <c r="A119" s="5" t="inlineStr">
        <is>
          <t>finance.unit.cost.route.amt.pipeline</t>
        </is>
      </c>
      <c r="B119" t="inlineStr">
        <is>
          <t>USD/MMBtu</t>
        </is>
      </c>
      <c r="C119">
        <f>finance.unit.cost.route.amt.pipeline_malaysia + ops.route.tariff.amt.thailand + finance.unit.cost.injection.amt</f>
        <v/>
      </c>
      <c r="D119" t="n">
        <v>2</v>
      </c>
      <c r="E119" s="7">
        <f>ROUND(C119,D119)</f>
        <v/>
      </c>
      <c r="F119">
        <f>IF(full_precision,C119,E119)</f>
        <v/>
      </c>
      <c r="G119" s="7" t="n">
        <v>1.65</v>
      </c>
      <c r="H119" s="8">
        <f>E119-G119</f>
        <v/>
      </c>
      <c r="I119" t="inlineStr">
        <is>
          <t>yes</t>
        </is>
      </c>
      <c r="J119" s="5" t="inlineStr">
        <is>
          <t>finance.unit.cost.route.amt.pipeline_malaysia + ops.route.tariff.amt.thailand + finance.unit.cost.injection.amt</t>
        </is>
      </c>
    </row>
    <row r="120">
      <c r="A120" s="5" t="inlineStr">
        <is>
          <t>ops.isotank.energy.rate</t>
        </is>
      </c>
      <c r="B120" t="inlineStr">
        <is>
          <t>MMBtu/tank</t>
        </is>
      </c>
      <c r="C120">
        <f>_ops.isotank.payload.rate * ops.biomethane.energy.rate.mass</f>
        <v/>
      </c>
      <c r="D120" t="n">
        <v>2</v>
      </c>
      <c r="E120" s="7">
        <f>ROUND(C120,D120)</f>
        <v/>
      </c>
      <c r="F120">
        <f>IF(full_precision,C120,E120)</f>
        <v/>
      </c>
      <c r="G120" s="7" t="n">
        <v>786.9299999999999</v>
      </c>
      <c r="H120" s="8">
        <f>E120-G120</f>
        <v/>
      </c>
      <c r="I120" t="inlineStr">
        <is>
          <t>yes</t>
        </is>
      </c>
      <c r="J120" s="5" t="inlineStr">
        <is>
          <t>_ops.isotank.payload.rate * ops.biomethane.energy.rate.mass</t>
        </is>
      </c>
    </row>
    <row r="121">
      <c r="A121" s="5" t="inlineStr">
        <is>
          <t>finance.unit.cost.route.amt.isotank</t>
        </is>
      </c>
      <c r="B121" t="inlineStr">
        <is>
          <t>USD/MMBtu</t>
        </is>
      </c>
      <c r="C121">
        <f>ops.route.liquefaction.cost.amt + ops.route.marine.cost.amt + finance.unit.cost.handling.amt</f>
        <v/>
      </c>
      <c r="D121" t="n">
        <v>2</v>
      </c>
      <c r="E121" s="7">
        <f>ROUND(C121,D121)</f>
        <v/>
      </c>
      <c r="F121">
        <f>IF(full_precision,C121,E121)</f>
        <v/>
      </c>
      <c r="G121" s="7" t="n">
        <v>5.75</v>
      </c>
      <c r="H121" s="8">
        <f>E121-G121</f>
        <v/>
      </c>
      <c r="I121" t="inlineStr">
        <is>
          <t>yes</t>
        </is>
      </c>
      <c r="J121" s="5" t="inlineStr">
        <is>
          <t>ops.route.liquefaction.cost.amt + ops.route.marine.cost.amt + finance.unit.cost.handling.amt</t>
        </is>
      </c>
    </row>
    <row r="122">
      <c r="A122" s="5" t="inlineStr">
        <is>
          <t>finance.unit.cost.road_haul.amt</t>
        </is>
      </c>
      <c r="B122" t="inlineStr">
        <is>
          <t>USD/MMBtu</t>
        </is>
      </c>
      <c r="C122">
        <f>ops.trailer.cost.rate * ops.route.road.dur * 2 / _finance.fx.thb.rate / ops.isotank.energy.rate</f>
        <v/>
      </c>
      <c r="D122" t="n">
        <v>2</v>
      </c>
      <c r="E122" s="7">
        <f>ROUND(C122,D122)</f>
        <v/>
      </c>
      <c r="F122">
        <f>IF(full_precision,C122,E122)</f>
        <v/>
      </c>
      <c r="G122" s="7" t="n">
        <v>1.42</v>
      </c>
      <c r="H122" s="8">
        <f>E122-G122</f>
        <v/>
      </c>
      <c r="I122" t="inlineStr">
        <is>
          <t>yes</t>
        </is>
      </c>
      <c r="J122" s="5" t="inlineStr">
        <is>
          <t>ops.trailer.cost.rate * ops.route.road.dur * 2 / _finance.fx.thb.rate / ops.isotank.energy.rate</t>
        </is>
      </c>
    </row>
    <row r="123">
      <c r="A123" s="5" t="inlineStr">
        <is>
          <t>finance.unit.cost.route.amt.road</t>
        </is>
      </c>
      <c r="B123" t="inlineStr">
        <is>
          <t>USD/MMBtu</t>
        </is>
      </c>
      <c r="C123">
        <f>ops.route.liquefaction.cost.amt + finance.unit.cost.road_haul.amt + finance.unit.cost.border.amt + finance.unit.cost.handling.amt</f>
        <v/>
      </c>
      <c r="D123" t="n">
        <v>2</v>
      </c>
      <c r="E123" s="7">
        <f>ROUND(C123,D123)</f>
        <v/>
      </c>
      <c r="F123">
        <f>IF(full_precision,C123,E123)</f>
        <v/>
      </c>
      <c r="G123" s="7" t="n">
        <v>6.12</v>
      </c>
      <c r="H123" s="8">
        <f>E123-G123</f>
        <v/>
      </c>
      <c r="I123" t="inlineStr">
        <is>
          <t>yes</t>
        </is>
      </c>
      <c r="J123" s="5" t="inlineStr">
        <is>
          <t>ops.route.liquefaction.cost.amt + finance.unit.cost.road_haul.amt + finance.unit.cost.border.amt + finance.unit.cost.handling.amt</t>
        </is>
      </c>
    </row>
    <row r="124">
      <c r="A124" s="5" t="inlineStr">
        <is>
          <t>finance.unit.cost.tolling_haul.amt</t>
        </is>
      </c>
      <c r="B124" t="inlineStr">
        <is>
          <t>USD/MMBtu</t>
        </is>
      </c>
      <c r="C124">
        <f>ops.trailer.cost.rate * ops.route.tolling.dur * 2 / _finance.fx.thb.rate / ops.trailer.energy.rate</f>
        <v/>
      </c>
      <c r="D124" t="n">
        <v>2</v>
      </c>
      <c r="E124" s="7">
        <f>ROUND(C124,D124)</f>
        <v/>
      </c>
      <c r="F124">
        <f>IF(full_precision,C124,E124)</f>
        <v/>
      </c>
      <c r="G124" s="7" t="n">
        <v>3.51</v>
      </c>
      <c r="H124" s="8">
        <f>E124-G124</f>
        <v/>
      </c>
      <c r="I124" t="inlineStr">
        <is>
          <t>yes</t>
        </is>
      </c>
      <c r="J124" s="5" t="inlineStr">
        <is>
          <t>ops.trailer.cost.rate * ops.route.tolling.dur * 2 / _finance.fx.thb.rate / ops.trailer.energy.rate</t>
        </is>
      </c>
    </row>
    <row r="125">
      <c r="A125" s="5" t="inlineStr">
        <is>
          <t>finance.unit.cost.route.amt.tolling</t>
        </is>
      </c>
      <c r="B125" t="inlineStr">
        <is>
          <t>USD/MMBtu</t>
        </is>
      </c>
      <c r="C125">
        <f>finance.unit.cost.tolling_haul.amt + ops.route.liquefaction.cost.amt + ops.route.marine.cost.amt</f>
        <v/>
      </c>
      <c r="D125" t="n">
        <v>2</v>
      </c>
      <c r="E125" s="7">
        <f>ROUND(C125,D125)</f>
        <v/>
      </c>
      <c r="F125">
        <f>IF(full_precision,C125,E125)</f>
        <v/>
      </c>
      <c r="G125" s="7" t="n">
        <v>8.859999999999999</v>
      </c>
      <c r="H125" s="8">
        <f>E125-G125</f>
        <v/>
      </c>
      <c r="I125" t="inlineStr">
        <is>
          <t>yes</t>
        </is>
      </c>
      <c r="J125" s="5" t="inlineStr">
        <is>
          <t>finance.unit.cost.tolling_haul.amt + ops.route.liquefaction.cost.amt + ops.route.marine.cost.amt</t>
        </is>
      </c>
    </row>
    <row r="126">
      <c r="A126" s="5" t="inlineStr">
        <is>
          <t>finance.unit.cost.delivered.amt.marine</t>
        </is>
      </c>
      <c r="B126" t="inlineStr">
        <is>
          <t>USD/MMBtu</t>
        </is>
      </c>
      <c r="C126">
        <f>finance.unit.cost.plant_gate.amt + finance.unit.cost.route.amt.marine + finance.unit.cost.certification.amt</f>
        <v/>
      </c>
      <c r="D126" t="n">
        <v>2</v>
      </c>
      <c r="E126" s="7">
        <f>ROUND(C126,D126)</f>
        <v/>
      </c>
      <c r="F126">
        <f>IF(full_precision,C126,E126)</f>
        <v/>
      </c>
      <c r="G126" s="7" t="n">
        <v>16.83</v>
      </c>
      <c r="H126" s="8">
        <f>E126-G126</f>
        <v/>
      </c>
      <c r="I126" t="inlineStr">
        <is>
          <t>yes</t>
        </is>
      </c>
      <c r="J126" s="5" t="inlineStr">
        <is>
          <t>finance.unit.cost.plant_gate.amt + finance.unit.cost.route.amt.marine + finance.unit.cost.certification.amt</t>
        </is>
      </c>
    </row>
    <row r="127">
      <c r="A127" s="5" t="inlineStr">
        <is>
          <t>finance.unit.cost.delivered.amt.pipeline</t>
        </is>
      </c>
      <c r="B127" t="inlineStr">
        <is>
          <t>USD/MMBtu</t>
        </is>
      </c>
      <c r="C127">
        <f>finance.unit.cost.plant_gate.amt + finance.unit.cost.route.amt.pipeline + finance.unit.cost.certification.amt</f>
        <v/>
      </c>
      <c r="D127" t="n">
        <v>2</v>
      </c>
      <c r="E127" s="7">
        <f>ROUND(C127,D127)</f>
        <v/>
      </c>
      <c r="F127">
        <f>IF(full_precision,C127,E127)</f>
        <v/>
      </c>
      <c r="G127" s="7" t="n">
        <v>12.33</v>
      </c>
      <c r="H127" s="8">
        <f>E127-G127</f>
        <v/>
      </c>
      <c r="I127" t="inlineStr">
        <is>
          <t>yes</t>
        </is>
      </c>
      <c r="J127" s="5" t="inlineStr">
        <is>
          <t>finance.unit.cost.plant_gate.amt + finance.unit.cost.route.amt.pipeline + finance.unit.cost.certification.amt</t>
        </is>
      </c>
    </row>
    <row r="128">
      <c r="A128" s="5" t="inlineStr">
        <is>
          <t>finance.unit.margin.amt.marine</t>
        </is>
      </c>
      <c r="B128" t="inlineStr">
        <is>
          <t>USD/MMBtu</t>
        </is>
      </c>
      <c r="C128">
        <f>frame.offtake.price.amt - finance.unit.cost.delivered.amt.marine</f>
        <v/>
      </c>
      <c r="D128" t="n">
        <v>2</v>
      </c>
      <c r="E128" s="7">
        <f>ROUND(C128,D128)</f>
        <v/>
      </c>
      <c r="F128">
        <f>IF(full_precision,C128,E128)</f>
        <v/>
      </c>
      <c r="G128" s="7" t="n">
        <v>3.17</v>
      </c>
      <c r="H128" s="8">
        <f>E128-G128</f>
        <v/>
      </c>
      <c r="I128" t="inlineStr">
        <is>
          <t>yes</t>
        </is>
      </c>
      <c r="J128" s="5" t="inlineStr">
        <is>
          <t>frame.offtake.price.amt - finance.unit.cost.delivered.amt.marine</t>
        </is>
      </c>
    </row>
    <row r="129">
      <c r="A129" s="5" t="inlineStr">
        <is>
          <t>finance.unit.margin.amt.pipeline</t>
        </is>
      </c>
      <c r="B129" t="inlineStr">
        <is>
          <t>USD/MMBtu</t>
        </is>
      </c>
      <c r="C129">
        <f>frame.offtake.price.amt - finance.unit.cost.delivered.amt.pipeline</f>
        <v/>
      </c>
      <c r="D129" t="n">
        <v>2</v>
      </c>
      <c r="E129" s="7">
        <f>ROUND(C129,D129)</f>
        <v/>
      </c>
      <c r="F129">
        <f>IF(full_precision,C129,E129)</f>
        <v/>
      </c>
      <c r="G129" s="7" t="n">
        <v>7.67</v>
      </c>
      <c r="H129" s="8">
        <f>E129-G129</f>
        <v/>
      </c>
      <c r="I129" t="inlineStr">
        <is>
          <t>yes</t>
        </is>
      </c>
      <c r="J129" s="5" t="inlineStr">
        <is>
          <t>frame.offtake.price.amt - finance.unit.cost.delivered.amt.pipeline</t>
        </is>
      </c>
    </row>
    <row r="130">
      <c r="A130" s="5" t="inlineStr">
        <is>
          <t>finance.unit.cost.route.amt.saving</t>
        </is>
      </c>
      <c r="B130" t="inlineStr">
        <is>
          <t>USD/MMBtu</t>
        </is>
      </c>
      <c r="C130">
        <f>finance.unit.cost.route.amt.marine - finance.unit.cost.route.amt.pipeline</f>
        <v/>
      </c>
      <c r="D130" t="n">
        <v>1</v>
      </c>
      <c r="E130" s="7">
        <f>ROUND(C130,D130)</f>
        <v/>
      </c>
      <c r="F130">
        <f>IF(full_precision,C130,E130)</f>
        <v/>
      </c>
      <c r="G130" s="7" t="n">
        <v>4.5</v>
      </c>
      <c r="H130" s="8">
        <f>E130-G130</f>
        <v/>
      </c>
      <c r="I130" t="inlineStr">
        <is>
          <t>yes</t>
        </is>
      </c>
      <c r="J130" s="5" t="inlineStr">
        <is>
          <t>finance.unit.cost.route.amt.marine - finance.unit.cost.route.amt.pipeline</t>
        </is>
      </c>
    </row>
    <row r="131">
      <c r="A131" s="1" t="inlineStr">
        <is>
          <t>Returns</t>
        </is>
      </c>
      <c r="B131" s="2" t="n"/>
      <c r="C131" s="2" t="n"/>
      <c r="D131" s="2" t="n"/>
      <c r="E131" s="2" t="n"/>
      <c r="F131" s="2" t="n"/>
      <c r="G131" s="2" t="n"/>
      <c r="H131" s="2" t="n"/>
      <c r="I131" s="2" t="n"/>
      <c r="J131" s="2" t="n"/>
    </row>
    <row r="132">
      <c r="A132" s="5" t="inlineStr">
        <is>
          <t>finance.initiative.irr.pct.marine_phase1</t>
        </is>
      </c>
      <c r="B132" t="inlineStr">
        <is>
          <t>fraction</t>
        </is>
      </c>
      <c r="C132" s="9" t="inlineStr"/>
      <c r="D132" t="n">
        <v>4</v>
      </c>
      <c r="E132" s="10" t="n">
        <v>-0.0523</v>
      </c>
      <c r="F132">
        <f>E132</f>
        <v/>
      </c>
      <c r="G132" s="7" t="n">
        <v>-0.0523</v>
      </c>
      <c r="H132" s="8">
        <f>E132-G132</f>
        <v/>
      </c>
      <c r="I132" s="9" t="inlineStr">
        <is>
          <t>no - solved for, not evaluated</t>
        </is>
      </c>
      <c r="J132" s="5" t="inlineStr">
        <is>
          <t>depends_on=finance.initiative.capital.amt.marine_phase1, finance.unit.cost.delivered.amt.marine, frame.offtake.price.amt, ops.hub.energy.rate.phase1</t>
        </is>
      </c>
    </row>
    <row r="133">
      <c r="A133" s="5" t="inlineStr">
        <is>
          <t>finance.initiative.irr.pct.pipeline_phase1</t>
        </is>
      </c>
      <c r="B133" t="inlineStr">
        <is>
          <t>fraction</t>
        </is>
      </c>
      <c r="C133" s="9" t="inlineStr"/>
      <c r="D133" t="n">
        <v>4</v>
      </c>
      <c r="E133" s="10" t="n">
        <v>0.1632</v>
      </c>
      <c r="F133">
        <f>E133</f>
        <v/>
      </c>
      <c r="G133" s="7" t="n">
        <v>0.1632</v>
      </c>
      <c r="H133" s="8">
        <f>E133-G133</f>
        <v/>
      </c>
      <c r="I133" s="9" t="inlineStr">
        <is>
          <t>no - solved for, not evaluated</t>
        </is>
      </c>
      <c r="J133" s="5" t="inlineStr">
        <is>
          <t>depends_on=finance.initiative.capital.amt.pipeline_phase1, finance.unit.cost.delivered.amt.pipeline, frame.offtake.price.amt, ops.hub.energy.rate.phase1</t>
        </is>
      </c>
    </row>
    <row r="134">
      <c r="A134" s="5" t="inlineStr">
        <is>
          <t>finance.initiative.npv.amt.marine_phase1</t>
        </is>
      </c>
      <c r="B134" t="inlineStr">
        <is>
          <t>USD M</t>
        </is>
      </c>
      <c r="C134" s="9" t="inlineStr"/>
      <c r="D134" t="n">
        <v>2</v>
      </c>
      <c r="E134" s="10" t="n">
        <v>-30.91</v>
      </c>
      <c r="F134">
        <f>E134</f>
        <v/>
      </c>
      <c r="G134" s="7" t="n">
        <v>-30.91</v>
      </c>
      <c r="H134" s="8">
        <f>E134-G134</f>
        <v/>
      </c>
      <c r="I134" s="9" t="inlineStr">
        <is>
          <t>no - solved for, not evaluated</t>
        </is>
      </c>
      <c r="J134" s="5" t="inlineStr">
        <is>
          <t>depends_on=finance.initiative.capital.amt.marine_phase1, finance.unit.cost.delivered.amt.marine, _frame.project.discount.pct</t>
        </is>
      </c>
    </row>
    <row r="135">
      <c r="A135" s="5" t="inlineStr">
        <is>
          <t>finance.initiative.npv.amt.pipeline_phase1</t>
        </is>
      </c>
      <c r="B135" t="inlineStr">
        <is>
          <t>USD M</t>
        </is>
      </c>
      <c r="C135" s="9" t="inlineStr"/>
      <c r="D135" t="n">
        <v>2</v>
      </c>
      <c r="E135" s="10" t="n">
        <v>20.36</v>
      </c>
      <c r="F135">
        <f>E135</f>
        <v/>
      </c>
      <c r="G135" s="7" t="n">
        <v>20.36</v>
      </c>
      <c r="H135" s="8">
        <f>E135-G135</f>
        <v/>
      </c>
      <c r="I135" s="9" t="inlineStr">
        <is>
          <t>no - solved for, not evaluated</t>
        </is>
      </c>
      <c r="J135" s="5" t="inlineStr">
        <is>
          <t>depends_on=finance.initiative.capital.amt.pipeline_phase1, finance.unit.cost.delivered.amt.pipeline, _frame.project.discount.pct</t>
        </is>
      </c>
    </row>
    <row r="136">
      <c r="A136" s="5" t="inlineStr">
        <is>
          <t>finance.initiative.payback.dur.marine_phase1</t>
        </is>
      </c>
      <c r="B136" t="inlineStr">
        <is>
          <t>years</t>
        </is>
      </c>
      <c r="C136" s="9" t="inlineStr"/>
      <c r="D136" t="n">
        <v>0</v>
      </c>
      <c r="E136" s="10" t="n">
        <v>99</v>
      </c>
      <c r="F136">
        <f>E136</f>
        <v/>
      </c>
      <c r="G136" s="7" t="n">
        <v>99</v>
      </c>
      <c r="H136" s="8">
        <f>E136-G136</f>
        <v/>
      </c>
      <c r="I136" s="9" t="inlineStr">
        <is>
          <t>no - solved for, not evaluated</t>
        </is>
      </c>
      <c r="J136" s="5" t="inlineStr">
        <is>
          <t>depends_on=finance.initiative.capital.amt.marine_phase1, finance.unit.cost.delivered.amt.marine, frame.offtake.price.amt</t>
        </is>
      </c>
    </row>
    <row r="137">
      <c r="A137" s="5" t="inlineStr">
        <is>
          <t>finance.initiative.payback.dur.pipeline_phase1_from_operation</t>
        </is>
      </c>
      <c r="B137" t="inlineStr">
        <is>
          <t>years</t>
        </is>
      </c>
      <c r="C137" s="9" t="inlineStr"/>
      <c r="D137" t="n">
        <v>2</v>
      </c>
      <c r="E137" s="10" t="n">
        <v>5.56</v>
      </c>
      <c r="F137">
        <f>E137</f>
        <v/>
      </c>
      <c r="G137" s="7" t="n">
        <v>5.56</v>
      </c>
      <c r="H137" s="8">
        <f>E137-G137</f>
        <v/>
      </c>
      <c r="I137" s="9" t="inlineStr">
        <is>
          <t>no - solved for, not evaluated</t>
        </is>
      </c>
      <c r="J137" s="5" t="inlineStr">
        <is>
          <t>depends_on=finance.initiative.capital.amt.pipeline_phase1, finance.unit.cost.delivered.amt.pipeline, frame.offtake.price.amt</t>
        </is>
      </c>
    </row>
    <row r="138">
      <c r="A138" s="5" t="inlineStr">
        <is>
          <t>finance.initiative.payback.dur.pipeline_phase1</t>
        </is>
      </c>
      <c r="B138" t="inlineStr">
        <is>
          <t>years</t>
        </is>
      </c>
      <c r="C138">
        <f>finance.initiative.payback.dur.pipeline_phase1_from_operation + _frame.project.construction.dur</f>
        <v/>
      </c>
      <c r="D138" t="n">
        <v>2</v>
      </c>
      <c r="E138" s="7">
        <f>ROUND(C138,D138)</f>
        <v/>
      </c>
      <c r="F138">
        <f>IF(full_precision,C138,E138)</f>
        <v/>
      </c>
      <c r="G138" s="7" t="n">
        <v>6.06</v>
      </c>
      <c r="H138" s="8">
        <f>E138-G138</f>
        <v/>
      </c>
      <c r="I138" t="inlineStr">
        <is>
          <t>yes</t>
        </is>
      </c>
      <c r="J138" s="5" t="inlineStr">
        <is>
          <t>finance.initiative.payback.dur.pipeline_phase1_from_operation + _frame.project.construction.dur</t>
        </is>
      </c>
    </row>
    <row r="139">
      <c r="A139" s="5" t="inlineStr">
        <is>
          <t>finance.initiative.payback.dur.slack</t>
        </is>
      </c>
      <c r="B139" t="inlineStr">
        <is>
          <t>years</t>
        </is>
      </c>
      <c r="C139">
        <f>frame.project.payback.dur.limit - finance.initiative.payback.dur.pipeline_phase1</f>
        <v/>
      </c>
      <c r="D139" t="n">
        <v>2</v>
      </c>
      <c r="E139" s="7">
        <f>ROUND(C139,D139)</f>
        <v/>
      </c>
      <c r="F139">
        <f>IF(full_precision,C139,E139)</f>
        <v/>
      </c>
      <c r="G139" s="7" t="n">
        <v>1.94</v>
      </c>
      <c r="H139" s="8">
        <f>E139-G139</f>
        <v/>
      </c>
      <c r="I139" t="inlineStr">
        <is>
          <t>yes</t>
        </is>
      </c>
      <c r="J139" s="5" t="inlineStr">
        <is>
          <t>frame.project.payback.dur.limit - finance.initiative.payback.dur.pipeline_phase1</t>
        </is>
      </c>
    </row>
    <row r="140">
      <c r="A140" s="5" t="inlineStr">
        <is>
          <t>finance.unit.price.amt.gap_marine</t>
        </is>
      </c>
      <c r="B140" t="inlineStr">
        <is>
          <t>USD/MMBtu</t>
        </is>
      </c>
      <c r="C140">
        <f>finance.unit.price.amt.floor_marine - frame.offtake.price.amt</f>
        <v/>
      </c>
      <c r="D140" t="n">
        <v>2</v>
      </c>
      <c r="E140" s="7">
        <f>ROUND(C140,D140)</f>
        <v/>
      </c>
      <c r="F140">
        <f>IF(full_precision,C140,E140)</f>
        <v/>
      </c>
      <c r="G140" s="7" t="n">
        <v>5.78</v>
      </c>
      <c r="H140" s="8">
        <f>E140-G140</f>
        <v/>
      </c>
      <c r="I140" t="inlineStr">
        <is>
          <t>yes</t>
        </is>
      </c>
      <c r="J140" s="5" t="inlineStr">
        <is>
          <t>finance.unit.price.amt.floor_marine - frame.offtake.price.amt</t>
        </is>
      </c>
    </row>
    <row r="141">
      <c r="A141" s="5" t="inlineStr">
        <is>
          <t>finance.unit.price.amt.gap_pipeline</t>
        </is>
      </c>
      <c r="B141" t="inlineStr">
        <is>
          <t>USD/MMBtu</t>
        </is>
      </c>
      <c r="C141">
        <f>finance.unit.price.amt.floor_pipeline - frame.offtake.price.amt</f>
        <v/>
      </c>
      <c r="D141" t="n">
        <v>2</v>
      </c>
      <c r="E141" s="7">
        <f>ROUND(C141,D141)</f>
        <v/>
      </c>
      <c r="F141">
        <f>IF(full_precision,C141,E141)</f>
        <v/>
      </c>
      <c r="G141" s="7" t="n">
        <v>-1.11</v>
      </c>
      <c r="H141" s="8">
        <f>E141-G141</f>
        <v/>
      </c>
      <c r="I141" t="inlineStr">
        <is>
          <t>yes</t>
        </is>
      </c>
      <c r="J141" s="5" t="inlineStr">
        <is>
          <t>finance.unit.price.amt.floor_pipeline - frame.offtake.price.amt</t>
        </is>
      </c>
    </row>
    <row r="142">
      <c r="A142" s="5" t="inlineStr">
        <is>
          <t>finance.unit.cost.feedstock.amt.headroom</t>
        </is>
      </c>
      <c r="B142" t="inlineStr">
        <is>
          <t>THB/Nm3</t>
        </is>
      </c>
      <c r="C142">
        <f>finance.unit.cost.feedstock.amt.ceiling - ops.feedstock.price.amt</f>
        <v/>
      </c>
      <c r="D142" t="n">
        <v>2</v>
      </c>
      <c r="E142" s="7">
        <f>ROUND(C142,D142)</f>
        <v/>
      </c>
      <c r="F142">
        <f>IF(full_precision,C142,E142)</f>
        <v/>
      </c>
      <c r="G142" s="7" t="n">
        <v>0.66</v>
      </c>
      <c r="H142" s="8">
        <f>E142-G142</f>
        <v/>
      </c>
      <c r="I142" t="inlineStr">
        <is>
          <t>yes</t>
        </is>
      </c>
      <c r="J142" s="5" t="inlineStr">
        <is>
          <t>finance.unit.cost.feedstock.amt.ceiling - ops.feedstock.price.amt</t>
        </is>
      </c>
    </row>
    <row r="143">
      <c r="A143" s="5" t="inlineStr">
        <is>
          <t>finance.unit.cost.feedstock.ratio.ceiling_over_alternative</t>
        </is>
      </c>
      <c r="B143" t="inlineStr">
        <is>
          <t>ratio</t>
        </is>
      </c>
      <c r="C143">
        <f>finance.unit.cost.feedstock.amt.ceiling / ops.mill.alternative.price.amt.net</f>
        <v/>
      </c>
      <c r="D143" t="n">
        <v>2</v>
      </c>
      <c r="E143" s="7">
        <f>ROUND(C143,D143)</f>
        <v/>
      </c>
      <c r="F143">
        <f>IF(full_precision,C143,E143)</f>
        <v/>
      </c>
      <c r="G143" s="7" t="n">
        <v>2.22</v>
      </c>
      <c r="H143" s="8">
        <f>E143-G143</f>
        <v/>
      </c>
      <c r="I143" t="inlineStr">
        <is>
          <t>yes</t>
        </is>
      </c>
      <c r="J143" s="5" t="inlineStr">
        <is>
          <t>finance.unit.cost.feedstock.amt.ceiling / ops.mill.alternative.price.amt.net</t>
        </is>
      </c>
    </row>
    <row r="144">
      <c r="A144" s="5" t="inlineStr">
        <is>
          <t>finance.unit.cost.route.amt.ceiling_headroom</t>
        </is>
      </c>
      <c r="B144" t="inlineStr">
        <is>
          <t>USD/MMBtu</t>
        </is>
      </c>
      <c r="C144">
        <f>finance.unit.cost.route.amt.ceiling - finance.unit.cost.route.amt.pipeline</f>
        <v/>
      </c>
      <c r="D144" t="n">
        <v>0</v>
      </c>
      <c r="E144" s="7">
        <f>ROUND(C144,D144)</f>
        <v/>
      </c>
      <c r="F144">
        <f>IF(full_precision,C144,E144)</f>
        <v/>
      </c>
      <c r="G144" s="7" t="n">
        <v>1</v>
      </c>
      <c r="H144" s="8">
        <f>E144-G144</f>
        <v/>
      </c>
      <c r="I144" t="inlineStr">
        <is>
          <t>yes</t>
        </is>
      </c>
      <c r="J144" s="5" t="inlineStr">
        <is>
          <t>finance.unit.cost.route.amt.ceiling - finance.unit.cost.route.amt.pipeline</t>
        </is>
      </c>
    </row>
    <row r="145">
      <c r="A145" s="5" t="inlineStr">
        <is>
          <t>finance.unit.cost.route.amt.marine_excess</t>
        </is>
      </c>
      <c r="B145" t="inlineStr">
        <is>
          <t>USD/MMBtu</t>
        </is>
      </c>
      <c r="C145">
        <f>finance.unit.cost.route.amt.marine - finance.unit.cost.route.amt.ceiling</f>
        <v/>
      </c>
      <c r="D145" t="n">
        <v>1</v>
      </c>
      <c r="E145" s="7">
        <f>ROUND(C145,D145)</f>
        <v/>
      </c>
      <c r="F145">
        <f>IF(full_precision,C145,E145)</f>
        <v/>
      </c>
      <c r="G145" s="7" t="n">
        <v>3.5</v>
      </c>
      <c r="H145" s="8">
        <f>E145-G145</f>
        <v/>
      </c>
      <c r="I145" t="inlineStr">
        <is>
          <t>yes</t>
        </is>
      </c>
      <c r="J145" s="5" t="inlineStr">
        <is>
          <t>finance.unit.cost.route.amt.marine - finance.unit.cost.route.amt.ceiling</t>
        </is>
      </c>
    </row>
    <row r="146">
      <c r="A146" s="1" t="inlineStr">
        <is>
          <t>Stress case</t>
        </is>
      </c>
      <c r="B146" s="2" t="n"/>
      <c r="C146" s="2" t="n"/>
      <c r="D146" s="2" t="n"/>
      <c r="E146" s="2" t="n"/>
      <c r="F146" s="2" t="n"/>
      <c r="G146" s="2" t="n"/>
      <c r="H146" s="2" t="n"/>
      <c r="I146" s="2" t="n"/>
      <c r="J146" s="2" t="n"/>
    </row>
    <row r="147">
      <c r="A147" s="5" t="inlineStr">
        <is>
          <t>risk.feedstock.price.amt.stress</t>
        </is>
      </c>
      <c r="B147" t="inlineStr">
        <is>
          <t>THB/Nm3</t>
        </is>
      </c>
      <c r="C147">
        <f>ops.feedstock.price.amt * (1 + _risk.feedstock.stress.pct)</f>
        <v/>
      </c>
      <c r="D147" t="n">
        <v>2</v>
      </c>
      <c r="E147" s="7">
        <f>ROUND(C147,D147)</f>
        <v/>
      </c>
      <c r="F147">
        <f>IF(full_precision,C147,E147)</f>
        <v/>
      </c>
      <c r="G147" s="7" t="n">
        <v>5.21</v>
      </c>
      <c r="H147" s="8">
        <f>E147-G147</f>
        <v/>
      </c>
      <c r="I147" t="inlineStr">
        <is>
          <t>yes</t>
        </is>
      </c>
      <c r="J147" s="5" t="inlineStr">
        <is>
          <t>ops.feedstock.price.amt * (1 + _risk.feedstock.stress.pct)</t>
        </is>
      </c>
    </row>
    <row r="148">
      <c r="A148" s="5" t="inlineStr">
        <is>
          <t>risk.route.cost.amt.stress</t>
        </is>
      </c>
      <c r="B148" t="inlineStr">
        <is>
          <t>USD/MMBtu</t>
        </is>
      </c>
      <c r="C148">
        <f>finance.unit.cost.route.amt.pipeline * (1 + _risk.route.stress.pct)</f>
        <v/>
      </c>
      <c r="D148" t="n">
        <v>2</v>
      </c>
      <c r="E148" s="7">
        <f>ROUND(C148,D148)</f>
        <v/>
      </c>
      <c r="F148">
        <f>IF(full_precision,C148,E148)</f>
        <v/>
      </c>
      <c r="G148" s="7" t="n">
        <v>2.15</v>
      </c>
      <c r="H148" s="8">
        <f>E148-G148</f>
        <v/>
      </c>
      <c r="I148" t="inlineStr">
        <is>
          <t>yes</t>
        </is>
      </c>
      <c r="J148" s="5" t="inlineStr">
        <is>
          <t>finance.unit.cost.route.amt.pipeline * (1 + _risk.route.stress.pct)</t>
        </is>
      </c>
    </row>
    <row r="149">
      <c r="A149" s="5" t="inlineStr">
        <is>
          <t>risk.feedstock.cost.amt.stress</t>
        </is>
      </c>
      <c r="B149" t="inlineStr">
        <is>
          <t>USD/MMBtu</t>
        </is>
      </c>
      <c r="C149">
        <f>risk.feedstock.price.amt.stress / _finance.fx.thb.rate / (ops.biogas.energy.rate * _ops.upgrading.recovery.pct)</f>
        <v/>
      </c>
      <c r="D149" t="n">
        <v>2</v>
      </c>
      <c r="E149" s="7">
        <f>ROUND(C149,D149)</f>
        <v/>
      </c>
      <c r="F149">
        <f>IF(full_precision,C149,E149)</f>
        <v/>
      </c>
      <c r="G149" s="7" t="n">
        <v>7.78</v>
      </c>
      <c r="H149" s="8">
        <f>E149-G149</f>
        <v/>
      </c>
      <c r="I149" t="inlineStr">
        <is>
          <t>yes</t>
        </is>
      </c>
      <c r="J149" s="5" t="inlineStr">
        <is>
          <t>(risk.feedstock.price.amt.stress / _finance.fx.thb.rate) / (ops.biogas.energy.rate * _ops.upgrading.recovery.pct)</t>
        </is>
      </c>
    </row>
    <row r="150">
      <c r="A150" s="5" t="inlineStr">
        <is>
          <t>risk.unit.cost.delivered.amt.stress</t>
        </is>
      </c>
      <c r="B150" t="inlineStr">
        <is>
          <t>USD/MMBtu</t>
        </is>
      </c>
      <c r="C150">
        <f>finance.unit.cost.plant_gate.amt - finance.unit.cost.feedstock.amt + risk.feedstock.cost.amt.stress + risk.route.cost.amt.stress + finance.unit.cost.certification.amt</f>
        <v/>
      </c>
      <c r="D150" t="n">
        <v>2</v>
      </c>
      <c r="E150" s="7">
        <f>ROUND(C150,D150)</f>
        <v/>
      </c>
      <c r="F150">
        <f>IF(full_precision,C150,E150)</f>
        <v/>
      </c>
      <c r="G150" s="7" t="n">
        <v>14.39</v>
      </c>
      <c r="H150" s="8">
        <f>E150-G150</f>
        <v/>
      </c>
      <c r="I150" t="inlineStr">
        <is>
          <t>yes</t>
        </is>
      </c>
      <c r="J150" s="5" t="inlineStr">
        <is>
          <t>finance.unit.cost.plant_gate.amt - finance.unit.cost.feedstock.amt + risk.feedstock.cost.amt.stress + risk.route.cost.amt.stress + finance.unit.cost.certification.amt</t>
        </is>
      </c>
    </row>
    <row r="151">
      <c r="A151" s="5" t="inlineStr">
        <is>
          <t>risk.initiative.capital.amt.stress</t>
        </is>
      </c>
      <c r="B151" t="inlineStr">
        <is>
          <t>USD M</t>
        </is>
      </c>
      <c r="C151">
        <f>finance.initiative.capital.amt.pipeline_phase1 * (1 + _risk.capital.stress.pct)</f>
        <v/>
      </c>
      <c r="D151" t="n">
        <v>2</v>
      </c>
      <c r="E151" s="7">
        <f>ROUND(C151,D151)</f>
        <v/>
      </c>
      <c r="F151">
        <f>IF(full_precision,C151,E151)</f>
        <v/>
      </c>
      <c r="G151" s="7" t="n">
        <v>42.08</v>
      </c>
      <c r="H151" s="8">
        <f>E151-G151</f>
        <v/>
      </c>
      <c r="I151" t="inlineStr">
        <is>
          <t>yes</t>
        </is>
      </c>
      <c r="J151" s="5" t="inlineStr">
        <is>
          <t>finance.initiative.capital.amt.pipeline_phase1 * (1 + _risk.capital.stress.pct)</t>
        </is>
      </c>
    </row>
    <row r="152">
      <c r="A152" s="5" t="inlineStr">
        <is>
          <t>risk.initiative.irr.pct.stress</t>
        </is>
      </c>
      <c r="B152" t="inlineStr">
        <is>
          <t>fraction</t>
        </is>
      </c>
      <c r="C152" s="9" t="inlineStr"/>
      <c r="D152" t="n">
        <v>4</v>
      </c>
      <c r="E152" s="10" t="n">
        <v>0.0581</v>
      </c>
      <c r="F152">
        <f>E152</f>
        <v/>
      </c>
      <c r="G152" s="7" t="n">
        <v>0.0581</v>
      </c>
      <c r="H152" s="8">
        <f>E152-G152</f>
        <v/>
      </c>
      <c r="I152" s="9" t="inlineStr">
        <is>
          <t>no - solved for, not evaluated</t>
        </is>
      </c>
      <c r="J152" s="5" t="inlineStr">
        <is>
          <t>depends_on=risk.initiative.capital.amt.stress, risk.unit.cost.delivered.amt.stress, frame.offtake.price.amt</t>
        </is>
      </c>
    </row>
    <row r="153">
      <c r="A153" s="5" t="inlineStr">
        <is>
          <t>risk.initiative.npv.amt.stress</t>
        </is>
      </c>
      <c r="B153" t="inlineStr">
        <is>
          <t>USD M</t>
        </is>
      </c>
      <c r="C153" s="9" t="inlineStr"/>
      <c r="D153" t="n">
        <v>2</v>
      </c>
      <c r="E153" s="10" t="n">
        <v>-5.96</v>
      </c>
      <c r="F153">
        <f>E153</f>
        <v/>
      </c>
      <c r="G153" s="7" t="n">
        <v>-5.96</v>
      </c>
      <c r="H153" s="8">
        <f>E153-G153</f>
        <v/>
      </c>
      <c r="I153" s="9" t="inlineStr">
        <is>
          <t>no - solved for, not evaluated</t>
        </is>
      </c>
      <c r="J153" s="5" t="inlineStr">
        <is>
          <t>depends_on=risk.initiative.capital.amt.stress, risk.unit.cost.delivered.amt.stress, _frame.project.discount.pct</t>
        </is>
      </c>
    </row>
    <row r="154">
      <c r="A154" s="5" t="inlineStr">
        <is>
          <t>finance.initiative.irr.pct.pipeline_full</t>
        </is>
      </c>
      <c r="B154" t="inlineStr">
        <is>
          <t>fraction</t>
        </is>
      </c>
      <c r="C154" s="9" t="inlineStr"/>
      <c r="D154" t="n">
        <v>4</v>
      </c>
      <c r="E154" s="10" t="n">
        <v>0.1628</v>
      </c>
      <c r="F154">
        <f>E154</f>
        <v/>
      </c>
      <c r="G154" s="7" t="n">
        <v>0.1628</v>
      </c>
      <c r="H154" s="8">
        <f>E154-G154</f>
        <v/>
      </c>
      <c r="I154" s="9" t="inlineStr">
        <is>
          <t>no - solved for, not evaluated</t>
        </is>
      </c>
      <c r="J154" s="5" t="inlineStr">
        <is>
          <t>depends_on=finance.initiative.capital.amt.pipeline_full, finance.unit.cost.delivered.amt.pipeline, frame.hub.capacity.rate.full</t>
        </is>
      </c>
    </row>
    <row r="155">
      <c r="A155" s="5" t="inlineStr">
        <is>
          <t>finance.initiative.irr.pct.marine_full</t>
        </is>
      </c>
      <c r="B155" t="inlineStr">
        <is>
          <t>fraction</t>
        </is>
      </c>
      <c r="C155" s="9" t="inlineStr"/>
      <c r="D155" t="n">
        <v>4</v>
      </c>
      <c r="E155" s="10" t="n">
        <v>-0.0461</v>
      </c>
      <c r="F155">
        <f>E155</f>
        <v/>
      </c>
      <c r="G155" s="7" t="n">
        <v>-0.0461</v>
      </c>
      <c r="H155" s="8">
        <f>E155-G155</f>
        <v/>
      </c>
      <c r="I155" s="9" t="inlineStr">
        <is>
          <t>no - solved for, not evaluated</t>
        </is>
      </c>
      <c r="J155" s="5" t="inlineStr">
        <is>
          <t>depends_on=finance.initiative.capital.amt.marine_full, finance.unit.cost.delivered.amt.marine, frame.hub.capacity.rate.full</t>
        </is>
      </c>
    </row>
    <row r="156">
      <c r="A156" s="5" t="inlineStr">
        <is>
          <t>finance.initiative.irr.pct.marine_phase1_client_capex</t>
        </is>
      </c>
      <c r="B156" t="inlineStr">
        <is>
          <t>fraction</t>
        </is>
      </c>
      <c r="C156" s="9" t="inlineStr"/>
      <c r="D156" t="n">
        <v>4</v>
      </c>
      <c r="E156" s="10" t="n">
        <v>-0.0237</v>
      </c>
      <c r="F156">
        <f>E156</f>
        <v/>
      </c>
      <c r="G156" s="7" t="n">
        <v>-0.0237</v>
      </c>
      <c r="H156" s="8">
        <f>E156-G156</f>
        <v/>
      </c>
      <c r="I156" s="9" t="inlineStr">
        <is>
          <t>no - solved for, not evaluated</t>
        </is>
      </c>
      <c r="J156" s="5" t="inlineStr">
        <is>
          <t>depends_on=finance.initiative.capital.amt.marine_phase1_client, finance.unit.cost.delivered.amt.marine, frame.offtake.price.amt</t>
        </is>
      </c>
    </row>
    <row r="157">
      <c r="A157" s="5" t="inlineStr">
        <is>
          <t>finance.initiative.irr.pct.pipeline_phase1_client_capex</t>
        </is>
      </c>
      <c r="B157" t="inlineStr">
        <is>
          <t>fraction</t>
        </is>
      </c>
      <c r="C157" s="9" t="inlineStr"/>
      <c r="D157" t="n">
        <v>4</v>
      </c>
      <c r="E157" s="10" t="n">
        <v>0.2502</v>
      </c>
      <c r="F157">
        <f>E157</f>
        <v/>
      </c>
      <c r="G157" s="7" t="n">
        <v>0.2502</v>
      </c>
      <c r="H157" s="8">
        <f>E157-G157</f>
        <v/>
      </c>
      <c r="I157" s="9" t="inlineStr">
        <is>
          <t>no - solved for, not evaluated</t>
        </is>
      </c>
      <c r="J157" s="5" t="inlineStr">
        <is>
          <t>depends_on=finance.initiative.capital.amt.pipeline_phase1_client, finance.unit.cost.delivered.amt.pipeline, frame.offtake.price.amt</t>
        </is>
      </c>
    </row>
    <row r="158">
      <c r="A158" s="1" t="inlineStr">
        <is>
          <t>Upside: the carbon dioxide co-product</t>
        </is>
      </c>
      <c r="B158" s="2" t="n"/>
      <c r="C158" s="2" t="n"/>
      <c r="D158" s="2" t="n"/>
      <c r="E158" s="2" t="n"/>
      <c r="F158" s="2" t="n"/>
      <c r="G158" s="2" t="n"/>
      <c r="H158" s="2" t="n"/>
      <c r="I158" s="2" t="n"/>
      <c r="J158" s="2" t="n"/>
    </row>
    <row r="159">
      <c r="A159" s="5" t="inlineStr">
        <is>
          <t>finance.liquefaction.capital.rate.reference</t>
        </is>
      </c>
      <c r="B159" t="inlineStr">
        <is>
          <t>USD M per t/day</t>
        </is>
      </c>
      <c r="C159">
        <f>_finance.liquefaction.capital.amt.reference / ops.hub.capacity.rate.client_product</f>
        <v/>
      </c>
      <c r="D159" t="n">
        <v>4</v>
      </c>
      <c r="E159" s="7">
        <f>ROUND(C159,D159)</f>
        <v/>
      </c>
      <c r="F159">
        <f>IF(full_precision,C159,E159)</f>
        <v/>
      </c>
      <c r="G159" s="7" t="n">
        <v>0.1613</v>
      </c>
      <c r="H159" s="8">
        <f>E159-G159</f>
        <v/>
      </c>
      <c r="I159" t="inlineStr">
        <is>
          <t>yes</t>
        </is>
      </c>
      <c r="J159" s="5" t="inlineStr">
        <is>
          <t>_finance.liquefaction.capital.amt.reference / ops.hub.capacity.rate.client_product</t>
        </is>
      </c>
    </row>
    <row r="160">
      <c r="A160" s="5" t="inlineStr">
        <is>
          <t>finance.carbon_dioxide.capital.rate</t>
        </is>
      </c>
      <c r="B160" t="inlineStr">
        <is>
          <t>USD M per t/day</t>
        </is>
      </c>
      <c r="C160">
        <f>finance.liquefaction.capital.rate.reference * _finance.carbon_dioxide.capital.ratio</f>
        <v/>
      </c>
      <c r="D160" t="n">
        <v>4</v>
      </c>
      <c r="E160" s="7">
        <f>ROUND(C160,D160)</f>
        <v/>
      </c>
      <c r="F160">
        <f>IF(full_precision,C160,E160)</f>
        <v/>
      </c>
      <c r="G160" s="7" t="n">
        <v>0.0968</v>
      </c>
      <c r="H160" s="8">
        <f>E160-G160</f>
        <v/>
      </c>
      <c r="I160" t="inlineStr">
        <is>
          <t>yes</t>
        </is>
      </c>
      <c r="J160" s="5" t="inlineStr">
        <is>
          <t>finance.liquefaction.capital.rate.reference * _finance.carbon_dioxide.capital.ratio</t>
        </is>
      </c>
    </row>
    <row r="161">
      <c r="A161" s="5" t="inlineStr">
        <is>
          <t>ops.carbon_dioxide.rate.phase1</t>
        </is>
      </c>
      <c r="B161" t="inlineStr">
        <is>
          <t>t/day</t>
        </is>
      </c>
      <c r="C161">
        <f>ops.hub.energy.rate.phase1 * ops.carbon_dioxide.yield.rate / _ops.plant.uptime.cnt</f>
        <v/>
      </c>
      <c r="D161" t="n">
        <v>1</v>
      </c>
      <c r="E161" s="7">
        <f>ROUND(C161,D161)</f>
        <v/>
      </c>
      <c r="F161">
        <f>IF(full_precision,C161,E161)</f>
        <v/>
      </c>
      <c r="G161" s="7" t="n">
        <v>174.3</v>
      </c>
      <c r="H161" s="8">
        <f>E161-G161</f>
        <v/>
      </c>
      <c r="I161" t="inlineStr">
        <is>
          <t>yes</t>
        </is>
      </c>
      <c r="J161" s="5" t="inlineStr">
        <is>
          <t>ops.hub.energy.rate.phase1 * ops.carbon_dioxide.yield.rate / _ops.plant.uptime.cnt</t>
        </is>
      </c>
    </row>
    <row r="162">
      <c r="A162" s="5" t="inlineStr">
        <is>
          <t>finance.carbon_dioxide.capital.amt.phase1</t>
        </is>
      </c>
      <c r="B162" t="inlineStr">
        <is>
          <t>USD M</t>
        </is>
      </c>
      <c r="C162">
        <f>finance.carbon_dioxide.capital.rate * ops.carbon_dioxide.rate.phase1</f>
        <v/>
      </c>
      <c r="D162" t="n">
        <v>2</v>
      </c>
      <c r="E162" s="7">
        <f>ROUND(C162,D162)</f>
        <v/>
      </c>
      <c r="F162">
        <f>IF(full_precision,C162,E162)</f>
        <v/>
      </c>
      <c r="G162" s="7" t="n">
        <v>16.87</v>
      </c>
      <c r="H162" s="8">
        <f>E162-G162</f>
        <v/>
      </c>
      <c r="I162" t="inlineStr">
        <is>
          <t>yes</t>
        </is>
      </c>
      <c r="J162" s="5" t="inlineStr">
        <is>
          <t>finance.carbon_dioxide.capital.rate * ops.carbon_dioxide.rate.phase1</t>
        </is>
      </c>
    </row>
    <row r="163">
      <c r="A163" s="5" t="inlineStr">
        <is>
          <t>finance.initiative.capital.amt.pipeline_co2_phase1</t>
        </is>
      </c>
      <c r="B163" t="inlineStr">
        <is>
          <t>USD M</t>
        </is>
      </c>
      <c r="C163">
        <f>finance.initiative.capital.amt.pipeline_phase1 + finance.carbon_dioxide.capital.amt.phase1</f>
        <v/>
      </c>
      <c r="D163" t="n">
        <v>2</v>
      </c>
      <c r="E163" s="7">
        <f>ROUND(C163,D163)</f>
        <v/>
      </c>
      <c r="F163">
        <f>IF(full_precision,C163,E163)</f>
        <v/>
      </c>
      <c r="G163" s="7" t="n">
        <v>49.24</v>
      </c>
      <c r="H163" s="8">
        <f>E163-G163</f>
        <v/>
      </c>
      <c r="I163" t="inlineStr">
        <is>
          <t>yes</t>
        </is>
      </c>
      <c r="J163" s="5" t="inlineStr">
        <is>
          <t>finance.initiative.capital.amt.pipeline_phase1 + finance.carbon_dioxide.capital.amt.phase1</t>
        </is>
      </c>
    </row>
    <row r="164">
      <c r="A164" s="5" t="inlineStr">
        <is>
          <t>finance.unit.cost.delivered.amt.pipeline_net_of_co2</t>
        </is>
      </c>
      <c r="B164" t="inlineStr">
        <is>
          <t>USD/MMBtu</t>
        </is>
      </c>
      <c r="C164">
        <f>finance.unit.cost.delivered.amt.pipeline - finance.unit.revenue.amt.carbon_dioxide</f>
        <v/>
      </c>
      <c r="D164" t="n">
        <v>2</v>
      </c>
      <c r="E164" s="7">
        <f>ROUND(C164,D164)</f>
        <v/>
      </c>
      <c r="F164">
        <f>IF(full_precision,C164,E164)</f>
        <v/>
      </c>
      <c r="G164" s="7" t="n">
        <v>10.12</v>
      </c>
      <c r="H164" s="8">
        <f>E164-G164</f>
        <v/>
      </c>
      <c r="I164" t="inlineStr">
        <is>
          <t>yes</t>
        </is>
      </c>
      <c r="J164" s="5" t="inlineStr">
        <is>
          <t>finance.unit.cost.delivered.amt.pipeline - finance.unit.revenue.amt.carbon_dioxide</t>
        </is>
      </c>
    </row>
    <row r="165">
      <c r="A165" s="5" t="inlineStr">
        <is>
          <t>finance.initiative.irr.pct.pipeline_co2_phase1</t>
        </is>
      </c>
      <c r="B165" t="inlineStr">
        <is>
          <t>fraction</t>
        </is>
      </c>
      <c r="C165" s="9" t="inlineStr"/>
      <c r="D165" t="n">
        <v>4</v>
      </c>
      <c r="E165" s="10" t="n">
        <v>0.1485</v>
      </c>
      <c r="F165">
        <f>E165</f>
        <v/>
      </c>
      <c r="G165" s="7" t="n">
        <v>0.1485</v>
      </c>
      <c r="H165" s="8">
        <f>E165-G165</f>
        <v/>
      </c>
      <c r="I165" s="9" t="inlineStr">
        <is>
          <t>no - solved for, not evaluated</t>
        </is>
      </c>
      <c r="J165" s="5" t="inlineStr">
        <is>
          <t>depends_on=finance.initiative.capital.amt.pipeline_co2_phase1, finance.unit.cost.delivered.amt.pipeline_net_of_co2, frame.offtake.price.amt</t>
        </is>
      </c>
    </row>
    <row r="166">
      <c r="A166" s="5" t="inlineStr">
        <is>
          <t>finance.carbon_dioxide.price.pct.of_india</t>
        </is>
      </c>
      <c r="B166" t="inlineStr">
        <is>
          <t>fraction</t>
        </is>
      </c>
      <c r="C166">
        <f>finance.carbon_dioxide.price.amt.for_hurdle / market.carbon_dioxide.price.amt.india</f>
        <v/>
      </c>
      <c r="D166" t="n">
        <v>3</v>
      </c>
      <c r="E166" s="7">
        <f>ROUND(C166,D166)</f>
        <v/>
      </c>
      <c r="F166">
        <f>IF(full_precision,C166,E166)</f>
        <v/>
      </c>
      <c r="G166" s="7" t="n">
        <v>0.096</v>
      </c>
      <c r="H166" s="8">
        <f>E166-G166</f>
        <v/>
      </c>
      <c r="I166" t="inlineStr">
        <is>
          <t>yes</t>
        </is>
      </c>
      <c r="J166" s="5" t="inlineStr">
        <is>
          <t>finance.carbon_dioxide.price.amt.for_hurdle / market.carbon_dioxide.price.amt.india</t>
        </is>
      </c>
    </row>
    <row r="167">
      <c r="A167" s="1" t="inlineStr">
        <is>
          <t>Contract terms and sensitivity</t>
        </is>
      </c>
      <c r="B167" s="2" t="n"/>
      <c r="C167" s="2" t="n"/>
      <c r="D167" s="2" t="n"/>
      <c r="E167" s="2" t="n"/>
      <c r="F167" s="2" t="n"/>
      <c r="G167" s="2" t="n"/>
      <c r="H167" s="2" t="n"/>
      <c r="I167" s="2" t="n"/>
      <c r="J167" s="2" t="n"/>
    </row>
    <row r="168">
      <c r="A168" s="5" t="inlineStr">
        <is>
          <t>risk.initiative.irr.pct.minimum_take</t>
        </is>
      </c>
      <c r="B168" t="inlineStr">
        <is>
          <t>fraction</t>
        </is>
      </c>
      <c r="C168" s="9" t="inlineStr"/>
      <c r="D168" t="n">
        <v>4</v>
      </c>
      <c r="E168" s="10" t="n">
        <v>0.0283</v>
      </c>
      <c r="F168">
        <f>E168</f>
        <v/>
      </c>
      <c r="G168" s="7" t="n">
        <v>0.0283</v>
      </c>
      <c r="H168" s="8">
        <f>E168-G168</f>
        <v/>
      </c>
      <c r="I168" s="9" t="inlineStr">
        <is>
          <t>no - solved for, not evaluated</t>
        </is>
      </c>
      <c r="J168" s="5" t="inlineStr">
        <is>
          <t>depends_on=frame.offtake.take.pct, finance.initiative.capital.amt.pipeline_phase1, finance.unit.cost.delivered.amt.pipeline</t>
        </is>
      </c>
    </row>
    <row r="169">
      <c r="A169" s="5" t="inlineStr">
        <is>
          <t>risk.initiative.npv.amt.minimum_take</t>
        </is>
      </c>
      <c r="B169" t="inlineStr">
        <is>
          <t>USD M</t>
        </is>
      </c>
      <c r="C169" s="9" t="inlineStr"/>
      <c r="D169" t="n">
        <v>2</v>
      </c>
      <c r="E169" s="10" t="n">
        <v>-10.18</v>
      </c>
      <c r="F169">
        <f>E169</f>
        <v/>
      </c>
      <c r="G169" s="7" t="n">
        <v>-10.18</v>
      </c>
      <c r="H169" s="8">
        <f>E169-G169</f>
        <v/>
      </c>
      <c r="I169" s="9" t="inlineStr">
        <is>
          <t>no - solved for, not evaluated</t>
        </is>
      </c>
      <c r="J169" s="5" t="inlineStr">
        <is>
          <t>depends_on=frame.offtake.take.pct, finance.initiative.capital.amt.pipeline_phase1, _frame.project.discount.pct</t>
        </is>
      </c>
    </row>
    <row r="170">
      <c r="A170" s="5" t="inlineStr">
        <is>
          <t>demand.sandbox.volume.rate.mass.over_short_term</t>
        </is>
      </c>
      <c r="B170" t="inlineStr">
        <is>
          <t>t/day</t>
        </is>
      </c>
      <c r="C170">
        <f>demand.sandbox.volume.cnt / (frame.offtake.term.dur.short * 365) / ops.biomethane.energy.rate.mass</f>
        <v/>
      </c>
      <c r="D170" t="n">
        <v>0</v>
      </c>
      <c r="E170" s="7">
        <f>ROUND(C170,D170)</f>
        <v/>
      </c>
      <c r="F170">
        <f>IF(full_precision,C170,E170)</f>
        <v/>
      </c>
      <c r="G170" s="7" t="n">
        <v>133</v>
      </c>
      <c r="H170" s="8">
        <f>E170-G170</f>
        <v/>
      </c>
      <c r="I170" t="inlineStr">
        <is>
          <t>yes</t>
        </is>
      </c>
      <c r="J170" s="5" t="inlineStr">
        <is>
          <t>demand.sandbox.volume.cnt / (frame.offtake.term.dur.short * 365) / ops.biomethane.energy.rate.mass</t>
        </is>
      </c>
    </row>
    <row r="171">
      <c r="A171" s="5" t="inlineStr">
        <is>
          <t>demand.hub.pct.of_quota_short_term</t>
        </is>
      </c>
      <c r="B171" t="inlineStr">
        <is>
          <t>fraction</t>
        </is>
      </c>
      <c r="C171">
        <f>frame.hub.capacity.rate.full / demand.sandbox.volume.rate.mass.over_short_term</f>
        <v/>
      </c>
      <c r="D171" t="n">
        <v>3</v>
      </c>
      <c r="E171" s="7">
        <f>ROUND(C171,D171)</f>
        <v/>
      </c>
      <c r="F171">
        <f>IF(full_precision,C171,E171)</f>
        <v/>
      </c>
      <c r="G171" s="7" t="n">
        <v>1.504</v>
      </c>
      <c r="H171" s="8">
        <f>E171-G171</f>
        <v/>
      </c>
      <c r="I171" t="inlineStr">
        <is>
          <t>yes</t>
        </is>
      </c>
      <c r="J171" s="5" t="inlineStr">
        <is>
          <t>frame.hub.capacity.rate.full / demand.sandbox.volume.rate.mass.over_short_term</t>
        </is>
      </c>
    </row>
    <row r="172">
      <c r="A172" s="5" t="inlineStr">
        <is>
          <t>demand.sandbox.volume.rate.mass.if_annual</t>
        </is>
      </c>
      <c r="B172" t="inlineStr">
        <is>
          <t>t/day</t>
        </is>
      </c>
      <c r="C172">
        <f>demand.sandbox.volume.cnt / 365 / ops.biomethane.energy.rate.mass</f>
        <v/>
      </c>
      <c r="D172" t="n">
        <v>0</v>
      </c>
      <c r="E172" s="7">
        <f>ROUND(C172,D172)</f>
        <v/>
      </c>
      <c r="F172">
        <f>IF(full_precision,C172,E172)</f>
        <v/>
      </c>
      <c r="G172" s="7" t="n">
        <v>1065</v>
      </c>
      <c r="H172" s="8">
        <f>E172-G172</f>
        <v/>
      </c>
      <c r="I172" t="inlineStr">
        <is>
          <t>yes</t>
        </is>
      </c>
      <c r="J172" s="5" t="inlineStr">
        <is>
          <t>demand.sandbox.volume.cnt / 365 / ops.biomethane.energy.rate.mass</t>
        </is>
      </c>
    </row>
    <row r="173">
      <c r="A173" s="5" t="inlineStr">
        <is>
          <t>finance.unit.cost.feedstock.amt.at_measured_methane</t>
        </is>
      </c>
      <c r="B173" t="inlineStr">
        <is>
          <t>USD/MMBtu</t>
        </is>
      </c>
      <c r="C173">
        <f>ops.feedstock.price.amt / _finance.fx.thb.rate / (ops.biogas.methane.pct.measured * _ops.methane.energy.rate * _ops.upgrading.recovery.pct)</f>
        <v/>
      </c>
      <c r="D173" t="n">
        <v>2</v>
      </c>
      <c r="E173" s="7">
        <f>ROUND(C173,D173)</f>
        <v/>
      </c>
      <c r="F173">
        <f>IF(full_precision,C173,E173)</f>
        <v/>
      </c>
      <c r="G173" s="7" t="n">
        <v>5.66</v>
      </c>
      <c r="H173" s="8">
        <f>E173-G173</f>
        <v/>
      </c>
      <c r="I173" t="inlineStr">
        <is>
          <t>yes</t>
        </is>
      </c>
      <c r="J173" s="5" t="inlineStr">
        <is>
          <t>(ops.feedstock.price.amt / _finance.fx.thb.rate) / (ops.biogas.methane.pct.measured * _ops.methane.energy.rate * _ops.upgrading.recovery.pct)</t>
        </is>
      </c>
    </row>
    <row r="174">
      <c r="A174" s="5" t="inlineStr">
        <is>
          <t>finance.unit.cost.upgrading_power.amt.high</t>
        </is>
      </c>
      <c r="B174" t="inlineStr">
        <is>
          <t>USD/MMBtu</t>
        </is>
      </c>
      <c r="C174">
        <f>ops.upgrading.power.rate.high * _ops.power.price.amt / _finance.fx.thb.rate / (ops.biogas.energy.rate * _ops.upgrading.recovery.pct)</f>
        <v/>
      </c>
      <c r="D174" t="n">
        <v>1</v>
      </c>
      <c r="E174" s="7">
        <f>ROUND(C174,D174)</f>
        <v/>
      </c>
      <c r="F174">
        <f>IF(full_precision,C174,E174)</f>
        <v/>
      </c>
      <c r="G174" s="7" t="n">
        <v>1.7</v>
      </c>
      <c r="H174" s="8">
        <f>E174-G174</f>
        <v/>
      </c>
      <c r="I174" t="inlineStr">
        <is>
          <t>yes</t>
        </is>
      </c>
      <c r="J174" s="5" t="inlineStr">
        <is>
          <t>(ops.upgrading.power.rate.high * _ops.power.price.amt / _finance.fx.thb.rate) / (ops.biogas.energy.rate * _ops.upgrading.recovery.pct)</t>
        </is>
      </c>
    </row>
    <row r="175">
      <c r="A175" s="5" t="inlineStr">
        <is>
          <t>finance.liquefaction.capital.ratio.client_against_high</t>
        </is>
      </c>
      <c r="B175" t="inlineStr">
        <is>
          <t>ratio</t>
        </is>
      </c>
      <c r="C175">
        <f>finance.liquefaction.capital.rate.high / finance.liquefaction.capital.rate.client</f>
        <v/>
      </c>
      <c r="D175" t="n">
        <v>0</v>
      </c>
      <c r="E175" s="7">
        <f>ROUND(C175,D175)</f>
        <v/>
      </c>
      <c r="F175">
        <f>IF(full_precision,C175,E175)</f>
        <v/>
      </c>
      <c r="G175" s="7" t="n">
        <v>3</v>
      </c>
      <c r="H175" s="8">
        <f>E175-G175</f>
        <v/>
      </c>
      <c r="I175" t="inlineStr">
        <is>
          <t>yes</t>
        </is>
      </c>
      <c r="J175" s="5" t="inlineStr">
        <is>
          <t>finance.liquefaction.capital.rate.high / finance.liquefaction.capital.rate.client</t>
        </is>
      </c>
    </row>
    <row r="176">
      <c r="A176" s="1" t="inlineStr">
        <is>
          <t>Volume and configuration sensitivity</t>
        </is>
      </c>
      <c r="B176" s="2" t="n"/>
      <c r="C176" s="2" t="n"/>
      <c r="D176" s="2" t="n"/>
      <c r="E176" s="2" t="n"/>
      <c r="F176" s="2" t="n"/>
      <c r="G176" s="2" t="n"/>
      <c r="H176" s="2" t="n"/>
      <c r="I176" s="2" t="n"/>
      <c r="J176" s="2" t="n"/>
    </row>
    <row r="177">
      <c r="A177" s="5" t="inlineStr">
        <is>
          <t>risk.initiative.capital.amt.unclustered</t>
        </is>
      </c>
      <c r="B177" t="inlineStr">
        <is>
          <t>USD M</t>
        </is>
      </c>
      <c r="C177">
        <f>finance.initiative.capital.amt.pipeline_phase1 - finance.upgrading.capital.amt.phase1 + finance.upgrading.capital.amt.phase1_unclustered</f>
        <v/>
      </c>
      <c r="D177" t="n">
        <v>2</v>
      </c>
      <c r="E177" s="7">
        <f>ROUND(C177,D177)</f>
        <v/>
      </c>
      <c r="F177">
        <f>IF(full_precision,C177,E177)</f>
        <v/>
      </c>
      <c r="G177" s="7" t="n">
        <v>41.82</v>
      </c>
      <c r="H177" s="8">
        <f>E177-G177</f>
        <v/>
      </c>
      <c r="I177" t="inlineStr">
        <is>
          <t>yes</t>
        </is>
      </c>
      <c r="J177" s="5" t="inlineStr">
        <is>
          <t>finance.initiative.capital.amt.pipeline_phase1 - finance.upgrading.capital.amt.phase1 + finance.upgrading.capital.amt.phase1_unclustered</t>
        </is>
      </c>
    </row>
    <row r="178">
      <c r="A178" s="5" t="inlineStr">
        <is>
          <t>risk.unit.cost.maintenance.amt.unclustered</t>
        </is>
      </c>
      <c r="B178" t="inlineStr">
        <is>
          <t>USD/MMBtu</t>
        </is>
      </c>
      <c r="C178">
        <f>(finance.upgrading.capital.amt.phase1_unclustered + finance.compression.capital.amt.phase1) * _finance.plant.maintenance.pct * 1000000 / ops.hub.energy.rate.phase1</f>
        <v/>
      </c>
      <c r="D178" t="n">
        <v>3</v>
      </c>
      <c r="E178" s="7">
        <f>ROUND(C178,D178)</f>
        <v/>
      </c>
      <c r="F178">
        <f>IF(full_precision,C178,E178)</f>
        <v/>
      </c>
      <c r="G178" s="7" t="n">
        <v>1.028</v>
      </c>
      <c r="H178" s="8">
        <f>E178-G178</f>
        <v/>
      </c>
      <c r="I178" t="inlineStr">
        <is>
          <t>yes</t>
        </is>
      </c>
      <c r="J178" s="5" t="inlineStr">
        <is>
          <t>(finance.upgrading.capital.amt.phase1_unclustered + finance.compression.capital.amt.phase1) * _finance.plant.maintenance.pct * 1000000 / ops.hub.energy.rate.phase1</t>
        </is>
      </c>
    </row>
    <row r="179">
      <c r="A179" s="5" t="inlineStr">
        <is>
          <t>risk.unit.cost.delivered.amt.unclustered</t>
        </is>
      </c>
      <c r="B179" t="inlineStr">
        <is>
          <t>USD/MMBtu</t>
        </is>
      </c>
      <c r="C179">
        <f>finance.unit.cost.delivered.amt.pipeline - finance.unit.cost.maintenance.amt + risk.unit.cost.maintenance.amt.unclustered</f>
        <v/>
      </c>
      <c r="D179" t="n">
        <v>2</v>
      </c>
      <c r="E179" s="7">
        <f>ROUND(C179,D179)</f>
        <v/>
      </c>
      <c r="F179">
        <f>IF(full_precision,C179,E179)</f>
        <v/>
      </c>
      <c r="G179" s="7" t="n">
        <v>12.66</v>
      </c>
      <c r="H179" s="8">
        <f>E179-G179</f>
        <v/>
      </c>
      <c r="I179" t="inlineStr">
        <is>
          <t>yes</t>
        </is>
      </c>
      <c r="J179" s="5" t="inlineStr">
        <is>
          <t>finance.unit.cost.delivered.amt.pipeline - finance.unit.cost.maintenance.amt + risk.unit.cost.maintenance.amt.unclustered</t>
        </is>
      </c>
    </row>
    <row r="180">
      <c r="A180" s="5" t="inlineStr">
        <is>
          <t>risk.initiative.irr.pct.unclustered</t>
        </is>
      </c>
      <c r="B180" t="inlineStr">
        <is>
          <t>fraction</t>
        </is>
      </c>
      <c r="C180" s="9" t="inlineStr"/>
      <c r="D180" t="n">
        <v>4</v>
      </c>
      <c r="E180" s="10" t="n">
        <v>0.1113</v>
      </c>
      <c r="F180">
        <f>E180</f>
        <v/>
      </c>
      <c r="G180" s="7" t="n">
        <v>0.1113</v>
      </c>
      <c r="H180" s="8">
        <f>E180-G180</f>
        <v/>
      </c>
      <c r="I180" s="9" t="inlineStr">
        <is>
          <t>no - solved for, not evaluated</t>
        </is>
      </c>
      <c r="J180" s="5" t="inlineStr">
        <is>
          <t>depends_on=risk.initiative.capital.amt.unclustered, risk.unit.cost.delivered.amt.unclustered, frame.offtake.price.amt</t>
        </is>
      </c>
    </row>
    <row r="181">
      <c r="A181" s="5" t="inlineStr">
        <is>
          <t>ops.hub.uptime.dur</t>
        </is>
      </c>
      <c r="B181" t="inlineStr">
        <is>
          <t>days/yr</t>
        </is>
      </c>
      <c r="C181">
        <f>_ops.plant.uptime.cnt * _ops.feedstock.availability.pct</f>
        <v/>
      </c>
      <c r="D181" t="n">
        <v>0</v>
      </c>
      <c r="E181" s="7">
        <f>IF(full_precision,ROUND(C181,D181),280)</f>
        <v/>
      </c>
      <c r="F181">
        <f>IF(full_precision,C181,E181)</f>
        <v/>
      </c>
      <c r="G181" s="7" t="n">
        <v>280</v>
      </c>
      <c r="H181" s="8">
        <f>E181-G181</f>
        <v/>
      </c>
      <c r="I181" s="9" t="inlineStr">
        <is>
          <t>held to the memo</t>
        </is>
      </c>
      <c r="J181" s="5" t="inlineStr">
        <is>
          <t>_ops.plant.uptime.cnt * _ops.feedstock.availability.pct</t>
        </is>
      </c>
    </row>
    <row r="182">
      <c r="A182" s="5" t="inlineStr">
        <is>
          <t>risk.initiative.irr.pct.low_uptime</t>
        </is>
      </c>
      <c r="B182" t="inlineStr">
        <is>
          <t>fraction</t>
        </is>
      </c>
      <c r="C182" s="9" t="inlineStr"/>
      <c r="D182" t="n">
        <v>4</v>
      </c>
      <c r="E182" s="10" t="n">
        <v>0.1261</v>
      </c>
      <c r="F182">
        <f>E182</f>
        <v/>
      </c>
      <c r="G182" s="7" t="n">
        <v>0.1261</v>
      </c>
      <c r="H182" s="8">
        <f>E182-G182</f>
        <v/>
      </c>
      <c r="I182" s="9" t="inlineStr">
        <is>
          <t>no - solved for, not evaluated</t>
        </is>
      </c>
      <c r="J182" s="5" t="inlineStr">
        <is>
          <t>depends_on=_ops.plant.uptime.cnt, _ops.feedstock.availability.pct, finance.initiative.capital.amt.pipeline_phase1</t>
        </is>
      </c>
    </row>
    <row r="183">
      <c r="A183" s="5" t="inlineStr">
        <is>
          <t>risk.initiative.irr.pct.high_uptime</t>
        </is>
      </c>
      <c r="B183" t="inlineStr">
        <is>
          <t>fraction</t>
        </is>
      </c>
      <c r="C183" s="9" t="inlineStr"/>
      <c r="D183" t="n">
        <v>4</v>
      </c>
      <c r="E183" s="10" t="n">
        <v>0.1929</v>
      </c>
      <c r="F183">
        <f>E183</f>
        <v/>
      </c>
      <c r="G183" s="7" t="n">
        <v>0.1929</v>
      </c>
      <c r="H183" s="8">
        <f>E183-G183</f>
        <v/>
      </c>
      <c r="I183" s="9" t="inlineStr">
        <is>
          <t>no - solved for, not evaluated</t>
        </is>
      </c>
      <c r="J183" s="5" t="inlineStr">
        <is>
          <t>depends_on=_ops.plant.uptime.cnt, _ops.feedstock.availability.pct, finance.initiative.capital.amt.pipeline_phase1</t>
        </is>
      </c>
    </row>
    <row r="184">
      <c r="A184" s="5" t="inlineStr">
        <is>
          <t>ops.biogas.yield.ratio.low</t>
        </is>
      </c>
      <c r="B184" t="inlineStr">
        <is>
          <t>Nm3 biogas/m3 POME</t>
        </is>
      </c>
      <c r="C184">
        <f>ops.biogas.yield.ratio - ops.biogas.yield.ratio.deviation</f>
        <v/>
      </c>
      <c r="D184" t="n">
        <v>1</v>
      </c>
      <c r="E184" s="7">
        <f>ROUND(C184,D184)</f>
        <v/>
      </c>
      <c r="F184">
        <f>IF(full_precision,C184,E184)</f>
        <v/>
      </c>
      <c r="G184" s="7" t="n">
        <v>19.1</v>
      </c>
      <c r="H184" s="8">
        <f>E184-G184</f>
        <v/>
      </c>
      <c r="I184" t="inlineStr">
        <is>
          <t>yes</t>
        </is>
      </c>
      <c r="J184" s="5" t="inlineStr">
        <is>
          <t>ops.biogas.yield.ratio - ops.biogas.yield.ratio.deviation</t>
        </is>
      </c>
    </row>
    <row r="185">
      <c r="A185" s="5" t="inlineStr">
        <is>
          <t>risk.hub.mill.cnt.full_low_yield</t>
        </is>
      </c>
      <c r="B185" t="inlineStr">
        <is>
          <t>mills</t>
        </is>
      </c>
      <c r="C185">
        <f>ops.hub.mill.cnt.full * ops.biogas.yield.ratio / ops.biogas.yield.ratio.low</f>
        <v/>
      </c>
      <c r="D185" t="n">
        <v>1</v>
      </c>
      <c r="E185" s="7">
        <f>ROUND(C185,D185)</f>
        <v/>
      </c>
      <c r="F185">
        <f>IF(full_precision,C185,E185)</f>
        <v/>
      </c>
      <c r="G185" s="7" t="n">
        <v>42.4</v>
      </c>
      <c r="H185" s="8">
        <f>E185-G185</f>
        <v/>
      </c>
      <c r="I185" t="inlineStr">
        <is>
          <t>yes</t>
        </is>
      </c>
      <c r="J185" s="5" t="inlineStr">
        <is>
          <t>ops.hub.mill.cnt.full * ops.biogas.yield.ratio / ops.biogas.yield.ratio.low</t>
        </is>
      </c>
    </row>
    <row r="186">
      <c r="A186" s="1" t="inlineStr">
        <is>
          <t>The Salerno-level return</t>
        </is>
      </c>
      <c r="B186" s="2" t="n"/>
      <c r="C186" s="2" t="n"/>
      <c r="D186" s="2" t="n"/>
      <c r="E186" s="2" t="n"/>
      <c r="F186" s="2" t="n"/>
      <c r="G186" s="2" t="n"/>
      <c r="H186" s="2" t="n"/>
      <c r="I186" s="2" t="n"/>
      <c r="J186" s="2" t="n"/>
    </row>
    <row r="187">
      <c r="A187" s="5" t="inlineStr">
        <is>
          <t>finance.salerno.profit.amt.equity_full</t>
        </is>
      </c>
      <c r="B187" t="inlineStr">
        <is>
          <t>USD M/yr</t>
        </is>
      </c>
      <c r="C187">
        <f>finance.initiative.profit.amt.pipeline_full * frame.salerno.stake.pct</f>
        <v/>
      </c>
      <c r="D187" t="n">
        <v>1</v>
      </c>
      <c r="E187" s="7">
        <f>ROUND(C187,D187)</f>
        <v/>
      </c>
      <c r="F187">
        <f>IF(full_precision,C187,E187)</f>
        <v/>
      </c>
      <c r="G187" s="7" t="n">
        <v>2.4</v>
      </c>
      <c r="H187" s="8">
        <f>E187-G187</f>
        <v/>
      </c>
      <c r="I187" t="inlineStr">
        <is>
          <t>yes</t>
        </is>
      </c>
      <c r="J187" s="5" t="inlineStr">
        <is>
          <t>finance.initiative.profit.amt.pipeline_full * frame.salerno.stake.pct</t>
        </is>
      </c>
    </row>
    <row r="188">
      <c r="A188" s="5" t="inlineStr">
        <is>
          <t>finance.initiative.revenue.amt.full</t>
        </is>
      </c>
      <c r="B188" t="inlineStr">
        <is>
          <t>USD M/yr</t>
        </is>
      </c>
      <c r="C188">
        <f>frame.hub.capacity.rate.full * ops.biomethane.energy.rate.mass * _ops.plant.uptime.cnt * _ops.feedstock.availability.pct * frame.offtake.price.amt / 1000000</f>
        <v/>
      </c>
      <c r="D188" t="n">
        <v>2</v>
      </c>
      <c r="E188" s="7">
        <f>ROUND(C188,D188)</f>
        <v/>
      </c>
      <c r="F188">
        <f>IF(full_precision,C188,E188)</f>
        <v/>
      </c>
      <c r="G188" s="7" t="n">
        <v>51.94</v>
      </c>
      <c r="H188" s="8">
        <f>E188-G188</f>
        <v/>
      </c>
      <c r="I188" t="inlineStr">
        <is>
          <t>yes</t>
        </is>
      </c>
      <c r="J188" s="5" t="inlineStr">
        <is>
          <t>frame.hub.capacity.rate.full * ops.biomethane.energy.rate.mass * _ops.plant.uptime.cnt * _ops.feedstock.availability.pct * frame.offtake.price.amt / 1000000</t>
        </is>
      </c>
    </row>
    <row r="189">
      <c r="A189" s="5" t="inlineStr">
        <is>
          <t>finance.salerno.profit.amt.fee_full</t>
        </is>
      </c>
      <c r="B189" t="inlineStr">
        <is>
          <t>USD M/yr</t>
        </is>
      </c>
      <c r="C189">
        <f>finance.initiative.revenue.amt.full * _frame.salerno.fee.pct</f>
        <v/>
      </c>
      <c r="D189" t="n">
        <v>2</v>
      </c>
      <c r="E189" s="7">
        <f>ROUND(C189,D189)</f>
        <v/>
      </c>
      <c r="F189">
        <f>IF(full_precision,C189,E189)</f>
        <v/>
      </c>
      <c r="G189" s="7" t="n">
        <v>3.12</v>
      </c>
      <c r="H189" s="8">
        <f>E189-G189</f>
        <v/>
      </c>
      <c r="I189" t="inlineStr">
        <is>
          <t>yes</t>
        </is>
      </c>
      <c r="J189" s="5" t="inlineStr">
        <is>
          <t>finance.initiative.revenue.amt.full * _frame.salerno.fee.pct</t>
        </is>
      </c>
    </row>
    <row r="190">
      <c r="A190" s="5" t="inlineStr">
        <is>
          <t>finance.salerno.revenue.amt.om_full</t>
        </is>
      </c>
      <c r="B190" t="inlineStr">
        <is>
          <t>USD M/yr</t>
        </is>
      </c>
      <c r="C190">
        <f>(finance.upgrading.capital.amt.full + finance.compression.capital.amt.full) * _finance.plant.maintenance.pct</f>
        <v/>
      </c>
      <c r="D190" t="n">
        <v>2</v>
      </c>
      <c r="E190" s="7">
        <f>ROUND(C190,D190)</f>
        <v/>
      </c>
      <c r="F190">
        <f>IF(full_precision,C190,E190)</f>
        <v/>
      </c>
      <c r="G190" s="7" t="n">
        <v>1.83</v>
      </c>
      <c r="H190" s="8">
        <f>E190-G190</f>
        <v/>
      </c>
      <c r="I190" t="inlineStr">
        <is>
          <t>yes</t>
        </is>
      </c>
      <c r="J190" s="5" t="inlineStr">
        <is>
          <t>(finance.upgrading.capital.amt.full + finance.compression.capital.amt.full) * _finance.plant.maintenance.pct</t>
        </is>
      </c>
    </row>
    <row r="191">
      <c r="A191" s="5" t="inlineStr">
        <is>
          <t>finance.salerno.profit.amt.om_full</t>
        </is>
      </c>
      <c r="B191" t="inlineStr">
        <is>
          <t>USD M/yr</t>
        </is>
      </c>
      <c r="C191">
        <f>finance.salerno.revenue.amt.om_full * _frame.salerno.om.pct</f>
        <v/>
      </c>
      <c r="D191" t="n">
        <v>2</v>
      </c>
      <c r="E191" s="7">
        <f>ROUND(C191,D191)</f>
        <v/>
      </c>
      <c r="F191">
        <f>IF(full_precision,C191,E191)</f>
        <v/>
      </c>
      <c r="G191" s="7" t="n">
        <v>0.27</v>
      </c>
      <c r="H191" s="8">
        <f>E191-G191</f>
        <v/>
      </c>
      <c r="I191" t="inlineStr">
        <is>
          <t>yes</t>
        </is>
      </c>
      <c r="J191" s="5" t="inlineStr">
        <is>
          <t>finance.salerno.revenue.amt.om_full * _frame.salerno.om.pct</t>
        </is>
      </c>
    </row>
    <row r="192">
      <c r="A192" s="5" t="inlineStr">
        <is>
          <t>finance.salerno.profit.amt.full</t>
        </is>
      </c>
      <c r="B192" t="inlineStr">
        <is>
          <t>USD M/yr</t>
        </is>
      </c>
      <c r="C192">
        <f>finance.salerno.profit.amt.equity_full + finance.salerno.profit.amt.fee_full + finance.salerno.profit.amt.om_full</f>
        <v/>
      </c>
      <c r="D192" t="n">
        <v>2</v>
      </c>
      <c r="E192" s="7">
        <f>ROUND(C192,D192)</f>
        <v/>
      </c>
      <c r="F192">
        <f>IF(full_precision,C192,E192)</f>
        <v/>
      </c>
      <c r="G192" s="7" t="n">
        <v>5.79</v>
      </c>
      <c r="H192" s="8">
        <f>E192-G192</f>
        <v/>
      </c>
      <c r="I192" t="inlineStr">
        <is>
          <t>yes</t>
        </is>
      </c>
      <c r="J192" s="5" t="inlineStr">
        <is>
          <t>finance.salerno.profit.amt.equity_full + finance.salerno.profit.amt.fee_full + finance.salerno.profit.amt.om_full</t>
        </is>
      </c>
    </row>
    <row r="193">
      <c r="A193" s="5" t="inlineStr">
        <is>
          <t>finance.salerno.profit.amt.gap</t>
        </is>
      </c>
      <c r="B193" t="inlineStr">
        <is>
          <t>USD M/yr</t>
        </is>
      </c>
      <c r="C193">
        <f>frame.salerno.profit.amt.target - finance.salerno.profit.amt.full</f>
        <v/>
      </c>
      <c r="D193" t="n">
        <v>2</v>
      </c>
      <c r="E193" s="7">
        <f>ROUND(C193,D193)</f>
        <v/>
      </c>
      <c r="F193">
        <f>IF(full_precision,C193,E193)</f>
        <v/>
      </c>
      <c r="G193" s="7" t="n">
        <v>4.21</v>
      </c>
      <c r="H193" s="8">
        <f>E193-G193</f>
        <v/>
      </c>
      <c r="I193" t="inlineStr">
        <is>
          <t>yes</t>
        </is>
      </c>
      <c r="J193" s="5" t="inlineStr">
        <is>
          <t>frame.salerno.profit.amt.target - finance.salerno.profit.amt.full</t>
        </is>
      </c>
    </row>
    <row r="194">
      <c r="A194" s="5" t="inlineStr">
        <is>
          <t>finance.salerno.profit.pct.achieved</t>
        </is>
      </c>
      <c r="B194" t="inlineStr">
        <is>
          <t>fraction</t>
        </is>
      </c>
      <c r="C194">
        <f>finance.salerno.profit.amt.full / frame.salerno.profit.amt.target</f>
        <v/>
      </c>
      <c r="D194" t="n">
        <v>3</v>
      </c>
      <c r="E194" s="7">
        <f>ROUND(C194,D194)</f>
        <v/>
      </c>
      <c r="F194">
        <f>IF(full_precision,C194,E194)</f>
        <v/>
      </c>
      <c r="G194" s="7" t="n">
        <v>0.579</v>
      </c>
      <c r="H194" s="8">
        <f>E194-G194</f>
        <v/>
      </c>
      <c r="I194" t="inlineStr">
        <is>
          <t>yes</t>
        </is>
      </c>
      <c r="J194" s="5" t="inlineStr">
        <is>
          <t>finance.salerno.profit.amt.full / frame.salerno.profit.amt.target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30" customWidth="1" min="1" max="1"/>
    <col width="100" customWidth="1" min="2" max="2"/>
  </cols>
  <sheetData>
    <row r="1">
      <c r="A1" s="11" t="inlineStr">
        <is>
          <t>This workbook</t>
        </is>
      </c>
      <c r="B1" s="12" t="inlineStr"/>
    </row>
    <row r="2">
      <c r="A2" t="inlineStr"/>
      <c r="B2" s="12" t="inlineStr">
        <is>
          <t>Every figure the memo states, as a live cell. Change a shaded input on the Inputs sheet and every formula resting on it moves. Nothing is locked - the shading marks what is meant to move, it does not stop you moving anything else.</t>
        </is>
      </c>
    </row>
    <row r="3">
      <c r="A3" t="inlineStr"/>
      <c r="B3" s="12" t="inlineStr"/>
    </row>
    <row r="4">
      <c r="A4" s="11" t="inlineStr">
        <is>
          <t>Run</t>
        </is>
      </c>
      <c r="B4" s="12" t="inlineStr">
        <is>
          <t>Salerno010-5RQN</t>
        </is>
      </c>
    </row>
    <row r="5">
      <c r="A5" s="11" t="inlineStr">
        <is>
          <t>Case</t>
        </is>
      </c>
      <c r="B5" s="12" t="inlineStr">
        <is>
          <t>Salerno</t>
        </is>
      </c>
    </row>
    <row r="6">
      <c r="A6" s="11" t="inlineStr">
        <is>
          <t>Model</t>
        </is>
      </c>
      <c r="B6" s="12" t="inlineStr">
        <is>
          <t>claude-opus-5</t>
        </is>
      </c>
    </row>
    <row r="7">
      <c r="A7" s="11" t="inlineStr">
        <is>
          <t>Skill commit</t>
        </is>
      </c>
      <c r="B7" s="12" t="inlineStr">
        <is>
          <t>aac9d5156a7dcff4bcdbee5ab2843c5a1636eeb6 (aac9d51)</t>
        </is>
      </c>
    </row>
    <row r="8">
      <c r="A8" s="11" t="inlineStr">
        <is>
          <t>Run created</t>
        </is>
      </c>
      <c r="B8" s="12" t="inlineStr">
        <is>
          <t>2026-08-05T07:12:52Z</t>
        </is>
      </c>
    </row>
    <row r="9">
      <c r="A9" t="inlineStr"/>
      <c r="B9" s="12" t="inlineStr"/>
    </row>
    <row r="10">
      <c r="A10" s="11" t="inlineStr">
        <is>
          <t>Figures</t>
        </is>
      </c>
      <c r="B10" s="12" t="inlineStr">
        <is>
          <t>360 manifest rows</t>
        </is>
      </c>
    </row>
    <row r="11">
      <c r="A11" t="inlineStr">
        <is>
          <t xml:space="preserve">  you can change</t>
        </is>
      </c>
      <c r="B11" s="12" t="inlineStr">
        <is>
          <t>133 inputs, shaded yellow, of which 12 are judgments - a number the case chose rather than computed, and the likeliest thing worth testing</t>
        </is>
      </c>
    </row>
    <row r="12">
      <c r="A12" t="inlineStr">
        <is>
          <t xml:space="preserve">  recalculate</t>
        </is>
      </c>
      <c r="B12" s="12" t="inlineStr">
        <is>
          <t>157</t>
        </is>
      </c>
    </row>
    <row r="13">
      <c r="A13" t="inlineStr">
        <is>
          <t xml:space="preserve">  do not</t>
        </is>
      </c>
      <c r="B13" s="12" t="inlineStr">
        <is>
          <t>18 - shaded orange, see below</t>
        </is>
      </c>
    </row>
    <row r="14">
      <c r="A14" t="inlineStr">
        <is>
          <t xml:space="preserve">  relations</t>
        </is>
      </c>
      <c r="B14" s="12" t="inlineStr">
        <is>
          <t>52 - not yet in the workbook</t>
        </is>
      </c>
    </row>
    <row r="15">
      <c r="A15" t="inlineStr"/>
      <c r="B15" s="12" t="inlineStr"/>
    </row>
    <row r="16">
      <c r="A16" s="11" t="inlineStr">
        <is>
          <t>Why some figures do not recalculate</t>
        </is>
      </c>
      <c r="B16" s="12" t="inlineStr"/>
    </row>
    <row r="17">
      <c r="A17" t="inlineStr"/>
      <c r="B17" s="12" t="inlineStr">
        <is>
          <t>The Recalculates column says which reason applies to each.</t>
        </is>
      </c>
    </row>
    <row r="18">
      <c r="A18" t="inlineStr"/>
      <c r="B18" s="12" t="inlineStr">
        <is>
          <t>SOLVED FOR, NOT EVALUATED - an IRR, an NPV, a payback flag. These are reached by iteration rather than by arithmetic, so there is no expression to put in the cell and the number stands as the memo published it. Excel computes these natively and a later version will.</t>
        </is>
      </c>
    </row>
    <row r="19">
      <c r="A19" t="inlineStr"/>
      <c r="B19" s="12" t="inlineStr">
        <is>
          <t>THE MEMO DID NOT RECORD ITS FORMULA - the figure is another figure under a second name, and the run wrote down what it depends on instead of the derivation. Nothing here repairs that, because doing so would assert a relationship the memo does not state.</t>
        </is>
      </c>
    </row>
    <row r="20">
      <c r="A20" t="inlineStr"/>
      <c r="B20" s="12" t="inlineStr">
        <is>
          <t>Either way, what the run believes bears on the figure is written out in the Derivation column, which is that row of the memo's figures manifest verbatim.</t>
        </is>
      </c>
    </row>
    <row r="21">
      <c r="A21" t="inlineStr"/>
      <c r="B21" s="12" t="inlineStr"/>
    </row>
    <row r="22">
      <c r="A22" s="11" t="inlineStr">
        <is>
          <t>Precision mode</t>
        </is>
      </c>
      <c r="B22" s="12" t="inlineStr">
        <is>
          <t>Model!B1, at the top of the Model sheet</t>
        </is>
      </c>
    </row>
    <row r="23">
      <c r="A23" s="11" t="inlineStr">
        <is>
          <t>The Model columns</t>
        </is>
      </c>
      <c r="B23" s="12" t="inlineStr">
        <is>
          <t>Unrounded is the calculation, and it reads the Used column of the rows it names. Rounded is that to the decimals the memo prints. Used is what every other row reads, and the only cell the precision mode moves.</t>
        </is>
      </c>
    </row>
    <row r="24">
      <c r="A24" t="inlineStr"/>
      <c r="B24" s="12" t="inlineStr">
        <is>
          <t>AS PUBLISHED (the default) reproduces the memo exactly. The model rounds each figure as it declares it and carries the rounded value into what follows, so the workbook does the same and every figure ties.</t>
        </is>
      </c>
    </row>
    <row r="25">
      <c r="A25" t="inlineStr"/>
      <c r="B25" s="12" t="inlineStr">
        <is>
          <t>FULL PRECISION computes each figure from unrounded inputs. It is the truer arithmetic and it will not match the memo everywhere. The banner at the top of the Model sheet counts how many figures differ, and the hidden Memo and vs memo columns (G:H) say which. Use it to see whether rounding changes anything that matters; quote figures from the memo, not from this mode.</t>
        </is>
      </c>
    </row>
    <row r="26">
      <c r="A26" t="inlineStr"/>
      <c r="B26" s="12" t="inlineStr"/>
    </row>
    <row r="27">
      <c r="A27" s="11" t="inlineStr">
        <is>
          <t>Held to the memo</t>
        </is>
      </c>
      <c r="B27" s="12" t="inlineStr">
        <is>
          <t>5 figure(s). Excel rounds a 15-significant-digit view of a number where the model rounds the exact value, so a few last digits are not reachable by any formula. Those cells hold what the memo printed until you switch to full precision, which is what stops the difference being inherited by every cell below them.</t>
        </is>
      </c>
    </row>
    <row r="28">
      <c r="A28" s="11" t="inlineStr">
        <is>
          <t>Tie-out</t>
        </is>
      </c>
      <c r="B28" s="12" t="inlineStr">
        <is>
          <t>clean - every recalculating figure reproduces the memo</t>
        </is>
      </c>
    </row>
    <row r="29">
      <c r="A29" s="11" t="inlineStr">
        <is>
          <t>Units</t>
        </is>
      </c>
      <c r="B29" s="12" t="inlineStr">
        <is>
          <t>Carried, never converted. Derivations handle scale themselves, so the unit column labels a number and does not transform 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Salerno010-5RQN</dc:creator>
  <dcterms:created xsi:type="dcterms:W3CDTF">2026-08-05T07:12:52Z</dcterms:created>
  <dcterms:modified xsi:type="dcterms:W3CDTF">2026-08-05T07:12:52Z</dcterms:modified>
  <cp:lastModifiedBy>Salerno010-5RQN</cp:lastModifiedBy>
</cp:coreProperties>
</file>